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500" activeTab="0"/>
  </bookViews>
  <sheets>
    <sheet name="Supplementary table" sheetId="1" r:id="rId1"/>
  </sheets>
  <definedNames/>
  <calcPr fullCalcOnLoad="1"/>
</workbook>
</file>

<file path=xl/sharedStrings.xml><?xml version="1.0" encoding="utf-8"?>
<sst xmlns="http://schemas.openxmlformats.org/spreadsheetml/2006/main" count="765" uniqueCount="90">
  <si>
    <t>Skeletal assemblage (point counting)</t>
  </si>
  <si>
    <t>Sample</t>
  </si>
  <si>
    <t>PA3</t>
  </si>
  <si>
    <t>PA5A</t>
  </si>
  <si>
    <t>PA5V</t>
  </si>
  <si>
    <t>PA5Vbis</t>
  </si>
  <si>
    <t>PA6</t>
  </si>
  <si>
    <t>PA7</t>
  </si>
  <si>
    <t>PA8</t>
  </si>
  <si>
    <t>PA9</t>
  </si>
  <si>
    <t>PAS1_1</t>
  </si>
  <si>
    <t>PAS1_2</t>
  </si>
  <si>
    <t>PAS1_3</t>
  </si>
  <si>
    <t>PAS1_4</t>
  </si>
  <si>
    <t>PAS2_1</t>
  </si>
  <si>
    <t>PAS2_1.5</t>
  </si>
  <si>
    <t>PAS2_2</t>
  </si>
  <si>
    <t>PAS2_3</t>
  </si>
  <si>
    <t>PAS2_4</t>
  </si>
  <si>
    <t>PAS3_1</t>
  </si>
  <si>
    <t>PAS3_2</t>
  </si>
  <si>
    <t>PAS3_6</t>
  </si>
  <si>
    <t>PAS3_7</t>
  </si>
  <si>
    <t>PAS3_8</t>
  </si>
  <si>
    <t>PAS4_1</t>
  </si>
  <si>
    <t>PAS4_2</t>
  </si>
  <si>
    <t>PAS4_3</t>
  </si>
  <si>
    <t>PAS4_5</t>
  </si>
  <si>
    <t>PAS4_7</t>
  </si>
  <si>
    <t>Voids</t>
  </si>
  <si>
    <t>Sparite</t>
  </si>
  <si>
    <t>-</t>
  </si>
  <si>
    <t>Recrystallized mollusks</t>
  </si>
  <si>
    <t>Authigens</t>
  </si>
  <si>
    <t>Glauconite</t>
  </si>
  <si>
    <t>Terrigenous fraction</t>
  </si>
  <si>
    <t>Mud-sized unidentified elements</t>
  </si>
  <si>
    <t>Fine sand-sized unidentified elements (63-250)</t>
  </si>
  <si>
    <t>Medium sand-sized unidentified elements (250-500)</t>
  </si>
  <si>
    <t>Unidentified bioclasts</t>
  </si>
  <si>
    <t>Red calcareous algae</t>
  </si>
  <si>
    <t>Amphistegina</t>
  </si>
  <si>
    <t>Lenticulina</t>
  </si>
  <si>
    <t>Planorbulina</t>
  </si>
  <si>
    <t>Encrusting foraminifera</t>
  </si>
  <si>
    <t>Small rotaliids</t>
  </si>
  <si>
    <t>Small miliolids</t>
  </si>
  <si>
    <t>Textularids</t>
  </si>
  <si>
    <t>Planktic foraminifera</t>
  </si>
  <si>
    <t>Barnacles</t>
  </si>
  <si>
    <t>Molluscs</t>
  </si>
  <si>
    <t>Ostreids</t>
  </si>
  <si>
    <t>Serpulids</t>
  </si>
  <si>
    <t>Ditrupa</t>
  </si>
  <si>
    <t>Bryozoans</t>
  </si>
  <si>
    <t>Not identified echinoids</t>
  </si>
  <si>
    <t>Irregular echinoids</t>
  </si>
  <si>
    <t>Regular echinoids</t>
  </si>
  <si>
    <t>Ostracods</t>
  </si>
  <si>
    <t>Total</t>
  </si>
  <si>
    <t xml:space="preserve">N.B. Mesh of 250 micron; 500 points per section </t>
  </si>
  <si>
    <t>Foramimiferal assemblage (area counting)</t>
  </si>
  <si>
    <t>PAS1-1</t>
  </si>
  <si>
    <t>PAS1-2</t>
  </si>
  <si>
    <t>PAS1-3</t>
  </si>
  <si>
    <t>PAS1-4</t>
  </si>
  <si>
    <t>PAS2-1</t>
  </si>
  <si>
    <t>PAS2-1.5</t>
  </si>
  <si>
    <t>PAS2-2</t>
  </si>
  <si>
    <t>PAS2-3</t>
  </si>
  <si>
    <t>PAS2-4</t>
  </si>
  <si>
    <t>PAS3-1</t>
  </si>
  <si>
    <t>PAS3-2</t>
  </si>
  <si>
    <t>PAS3-3</t>
  </si>
  <si>
    <t>PAS3-6</t>
  </si>
  <si>
    <t>PAS3-7</t>
  </si>
  <si>
    <t>PAS3-8</t>
  </si>
  <si>
    <t>PAS4-1</t>
  </si>
  <si>
    <t>PAS4-2</t>
  </si>
  <si>
    <t>PAS4-3</t>
  </si>
  <si>
    <t>PAS4-5</t>
  </si>
  <si>
    <t>PAS4-6</t>
  </si>
  <si>
    <t>PAS4-7</t>
  </si>
  <si>
    <t>Cibicides</t>
  </si>
  <si>
    <t>Elphidium</t>
  </si>
  <si>
    <t>Asterigerina</t>
  </si>
  <si>
    <t>Neoconorbina/Asterigerinata</t>
  </si>
  <si>
    <t>Miliolids</t>
  </si>
  <si>
    <t>Bolivina/Bulimina</t>
  </si>
  <si>
    <t>Lagenids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</si>
</sst>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="75" zoomScaleNormal="75" zoomScalePageLayoutView="0" workbookViewId="0" topLeftCell="D1">
      <selection activeCell="A9" sqref="A9"/>
    </sheetView>
  </sheetViews>
  <sheetFormatPr defaultColWidth="9.140625" defaultRowHeight="15"/>
  <cols>
    <col min="1" max="1" width="61.7109375" style="1" customWidth="1"/>
    <col min="2" max="28" width="12.57421875" style="2" customWidth="1"/>
    <col min="29" max="35" width="12.57421875" style="3" customWidth="1"/>
    <col min="36" max="16384" width="8.7109375" style="3" customWidth="1"/>
  </cols>
  <sheetData>
    <row r="1" spans="1:28" s="4" customFormat="1" ht="2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4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4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</row>
    <row r="3" spans="1:28" s="9" customFormat="1" ht="18" customHeight="1">
      <c r="A3" s="7" t="s">
        <v>29</v>
      </c>
      <c r="B3" s="8">
        <f>2+1+2+1+1+2+2+10+1</f>
        <v>22</v>
      </c>
      <c r="C3" s="8">
        <f>1+2+1+4+2</f>
        <v>10</v>
      </c>
      <c r="D3" s="8">
        <f>1+1</f>
        <v>2</v>
      </c>
      <c r="E3" s="8">
        <f>2+1</f>
        <v>3</v>
      </c>
      <c r="F3" s="8">
        <f>13+1+1+3+4+1</f>
        <v>23</v>
      </c>
      <c r="G3" s="8">
        <f>3+1+1+4+2+1+1+2+2+3+1</f>
        <v>21</v>
      </c>
      <c r="H3" s="8">
        <f>2+2+3+1+9+1+1+1+8+3</f>
        <v>31</v>
      </c>
      <c r="I3" s="8">
        <f>10+1+11+1+2+1+4</f>
        <v>30</v>
      </c>
      <c r="J3" s="8">
        <f>11+2+1+1+1</f>
        <v>16</v>
      </c>
      <c r="K3" s="8">
        <f>4+1+2+1+2+1</f>
        <v>11</v>
      </c>
      <c r="L3" s="8">
        <f>1+1+1+1+12+1+1+1+4+3</f>
        <v>26</v>
      </c>
      <c r="M3" s="8">
        <f>16</f>
        <v>16</v>
      </c>
      <c r="N3" s="8">
        <f>7+4+3+5</f>
        <v>19</v>
      </c>
      <c r="O3" s="8">
        <f>1+4+5+1+2+3+1</f>
        <v>17</v>
      </c>
      <c r="P3" s="8">
        <f>5+2+1+1</f>
        <v>9</v>
      </c>
      <c r="Q3" s="8">
        <f>5+2+7+1+1+1+2+37+15+1</f>
        <v>72</v>
      </c>
      <c r="R3" s="8">
        <f>1+3+6+2+1+1</f>
        <v>14</v>
      </c>
      <c r="S3" s="8">
        <f>2+1</f>
        <v>3</v>
      </c>
      <c r="T3" s="8">
        <f>8+2+3+1+1+3+2</f>
        <v>20</v>
      </c>
      <c r="U3" s="8">
        <f>6+1+1+1+1+1</f>
        <v>11</v>
      </c>
      <c r="V3" s="8">
        <f>9+1+1+2+4+1+1+1+1+1+3+1</f>
        <v>26</v>
      </c>
      <c r="W3" s="8">
        <f>10+2+5+1+2+10+1</f>
        <v>31</v>
      </c>
      <c r="X3" s="8">
        <f>2+2+4+2+1+3</f>
        <v>14</v>
      </c>
      <c r="Y3" s="8">
        <f>5+1+1+2+1+2+3</f>
        <v>15</v>
      </c>
      <c r="Z3" s="8">
        <f>2+1+3+1+1+1</f>
        <v>9</v>
      </c>
      <c r="AA3" s="8">
        <f>17+8+4+9+1+4+2+14+1+8+1</f>
        <v>69</v>
      </c>
      <c r="AB3" s="8">
        <f>8+9+2+1+9+21+5</f>
        <v>55</v>
      </c>
    </row>
    <row r="4" spans="1:28" s="9" customFormat="1" ht="18" customHeight="1">
      <c r="A4" s="7" t="s">
        <v>30</v>
      </c>
      <c r="B4" s="8">
        <f>6+6+2+3+10+9+2+16+2</f>
        <v>56</v>
      </c>
      <c r="C4" s="8">
        <f>5+2+25+15+15+15+7+10+1</f>
        <v>95</v>
      </c>
      <c r="D4" s="8">
        <f>6+1+1+4</f>
        <v>12</v>
      </c>
      <c r="E4" s="8">
        <f>10+3+7+14+5+7+32</f>
        <v>78</v>
      </c>
      <c r="F4" s="8">
        <f>1+3+14+1+30+1+2+19</f>
        <v>71</v>
      </c>
      <c r="G4" s="8" t="s">
        <v>31</v>
      </c>
      <c r="H4" s="8">
        <f>9+30+9+1+20+1+10+1</f>
        <v>81</v>
      </c>
      <c r="I4" s="8">
        <f>22+15+1+14+11+5+8+1+7+8+2</f>
        <v>94</v>
      </c>
      <c r="J4" s="8">
        <f>4</f>
        <v>4</v>
      </c>
      <c r="K4" s="8">
        <f>48+1+1+31+8+3+3+8</f>
        <v>103</v>
      </c>
      <c r="L4" s="8">
        <f>3+15+4+23+21+2+1</f>
        <v>69</v>
      </c>
      <c r="M4" s="8">
        <f>3+2+3+11+28+2+2+5</f>
        <v>56</v>
      </c>
      <c r="N4" s="8">
        <f>12+11+19+20+1+12</f>
        <v>75</v>
      </c>
      <c r="O4" s="8">
        <f>16+7+11+3+7+2+20+5+28</f>
        <v>99</v>
      </c>
      <c r="P4" s="8">
        <f>23+1+3+8+1+4+1+15</f>
        <v>56</v>
      </c>
      <c r="Q4" s="8">
        <f>11+2+1+12+1+19+4+1+11</f>
        <v>62</v>
      </c>
      <c r="R4" s="8">
        <f>8+3+1+27+6+16+2+12</f>
        <v>75</v>
      </c>
      <c r="S4" s="8">
        <f>10+14+2+2+17+1+14+16+1+21</f>
        <v>98</v>
      </c>
      <c r="T4" s="8">
        <f>15+1+1+22+25+14+17+1+16+1</f>
        <v>113</v>
      </c>
      <c r="U4" s="8">
        <f>1+3+1+4+2</f>
        <v>11</v>
      </c>
      <c r="V4" s="8">
        <f>1+1+3+2+1+2+2</f>
        <v>12</v>
      </c>
      <c r="W4" s="8">
        <f>3+1+2+2+7+25+9</f>
        <v>49</v>
      </c>
      <c r="X4" s="8">
        <f>1+1</f>
        <v>2</v>
      </c>
      <c r="Y4" s="8">
        <f>2+4</f>
        <v>6</v>
      </c>
      <c r="Z4" s="8" t="s">
        <v>31</v>
      </c>
      <c r="AA4" s="8" t="s">
        <v>31</v>
      </c>
      <c r="AB4" s="8">
        <f>9+18+13+1+3</f>
        <v>44</v>
      </c>
    </row>
    <row r="5" spans="1:28" s="9" customFormat="1" ht="18" customHeight="1">
      <c r="A5" s="7" t="s">
        <v>32</v>
      </c>
      <c r="B5" s="8" t="s">
        <v>31</v>
      </c>
      <c r="C5" s="8" t="s">
        <v>31</v>
      </c>
      <c r="D5" s="8" t="s">
        <v>31</v>
      </c>
      <c r="E5" s="8" t="s">
        <v>31</v>
      </c>
      <c r="F5" s="8" t="s">
        <v>31</v>
      </c>
      <c r="G5" s="8" t="s">
        <v>31</v>
      </c>
      <c r="H5" s="8">
        <f>16+4+3</f>
        <v>23</v>
      </c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8" t="s">
        <v>31</v>
      </c>
      <c r="S5" s="8" t="s">
        <v>31</v>
      </c>
      <c r="T5" s="8" t="s">
        <v>31</v>
      </c>
      <c r="U5" s="8" t="s">
        <v>31</v>
      </c>
      <c r="V5" s="8">
        <f>2+3+3+2</f>
        <v>10</v>
      </c>
      <c r="W5" s="8">
        <f>2+11+1</f>
        <v>14</v>
      </c>
      <c r="X5" s="8" t="s">
        <v>31</v>
      </c>
      <c r="Y5" s="8" t="s">
        <v>31</v>
      </c>
      <c r="Z5" s="8" t="s">
        <v>31</v>
      </c>
      <c r="AA5" s="8" t="s">
        <v>31</v>
      </c>
      <c r="AB5" s="8" t="s">
        <v>31</v>
      </c>
    </row>
    <row r="6" spans="1:28" s="9" customFormat="1" ht="18" customHeight="1">
      <c r="A6" s="7" t="s">
        <v>33</v>
      </c>
      <c r="B6" s="8" t="s">
        <v>31</v>
      </c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31</v>
      </c>
      <c r="M6" s="8" t="s">
        <v>31</v>
      </c>
      <c r="N6" s="8" t="s">
        <v>31</v>
      </c>
      <c r="O6" s="8" t="s">
        <v>31</v>
      </c>
      <c r="P6" s="8" t="s">
        <v>31</v>
      </c>
      <c r="Q6" s="8" t="s">
        <v>31</v>
      </c>
      <c r="R6" s="8" t="s">
        <v>31</v>
      </c>
      <c r="S6" s="8" t="s">
        <v>31</v>
      </c>
      <c r="T6" s="8" t="s">
        <v>31</v>
      </c>
      <c r="U6" s="8" t="s">
        <v>31</v>
      </c>
      <c r="V6" s="8" t="s">
        <v>31</v>
      </c>
      <c r="W6" s="8" t="s">
        <v>31</v>
      </c>
      <c r="X6" s="8" t="s">
        <v>31</v>
      </c>
      <c r="Y6" s="8" t="s">
        <v>31</v>
      </c>
      <c r="Z6" s="8" t="s">
        <v>31</v>
      </c>
      <c r="AA6" s="8" t="s">
        <v>31</v>
      </c>
      <c r="AB6" s="8" t="s">
        <v>31</v>
      </c>
    </row>
    <row r="7" spans="1:28" s="9" customFormat="1" ht="18" customHeight="1">
      <c r="A7" s="7" t="s">
        <v>34</v>
      </c>
      <c r="B7" s="8" t="s">
        <v>31</v>
      </c>
      <c r="C7" s="8" t="s">
        <v>31</v>
      </c>
      <c r="D7" s="8" t="s">
        <v>31</v>
      </c>
      <c r="E7" s="8" t="s">
        <v>31</v>
      </c>
      <c r="F7" s="8" t="s">
        <v>31</v>
      </c>
      <c r="G7" s="8" t="s">
        <v>31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31</v>
      </c>
      <c r="M7" s="8" t="s">
        <v>31</v>
      </c>
      <c r="N7" s="8" t="s">
        <v>31</v>
      </c>
      <c r="O7" s="8" t="s">
        <v>31</v>
      </c>
      <c r="P7" s="8" t="s">
        <v>31</v>
      </c>
      <c r="Q7" s="8" t="s">
        <v>31</v>
      </c>
      <c r="R7" s="8" t="s">
        <v>31</v>
      </c>
      <c r="S7" s="8" t="s">
        <v>31</v>
      </c>
      <c r="T7" s="8" t="s">
        <v>31</v>
      </c>
      <c r="U7" s="8" t="s">
        <v>31</v>
      </c>
      <c r="V7" s="8" t="s">
        <v>31</v>
      </c>
      <c r="W7" s="8" t="s">
        <v>31</v>
      </c>
      <c r="X7" s="8" t="s">
        <v>31</v>
      </c>
      <c r="Y7" s="8" t="s">
        <v>31</v>
      </c>
      <c r="Z7" s="8" t="s">
        <v>31</v>
      </c>
      <c r="AA7" s="8" t="s">
        <v>31</v>
      </c>
      <c r="AB7" s="8" t="s">
        <v>31</v>
      </c>
    </row>
    <row r="8" spans="1:28" s="9" customFormat="1" ht="18" customHeight="1">
      <c r="A8" s="7" t="s">
        <v>35</v>
      </c>
      <c r="B8" s="8">
        <f>24+1+7+2+15+3+15</f>
        <v>67</v>
      </c>
      <c r="C8" s="8">
        <f>7+16+30+1+15+62+48</f>
        <v>179</v>
      </c>
      <c r="D8" s="8">
        <f>10+1+37+6+3+3+4+57+16+5+27</f>
        <v>169</v>
      </c>
      <c r="E8" s="8">
        <f>10+28+1+27+2+1+17+3+1</f>
        <v>90</v>
      </c>
      <c r="F8" s="8">
        <f>28+10+31+1+13+2</f>
        <v>85</v>
      </c>
      <c r="G8" s="8">
        <f>6+6+1+1</f>
        <v>14</v>
      </c>
      <c r="H8" s="8">
        <f>3+3+2</f>
        <v>8</v>
      </c>
      <c r="I8" s="8">
        <f>7+2+12+14+2+2</f>
        <v>39</v>
      </c>
      <c r="J8" s="8">
        <f>11+4+1+18</f>
        <v>34</v>
      </c>
      <c r="K8" s="8">
        <f>4+24+14+57+2+27</f>
        <v>128</v>
      </c>
      <c r="L8" s="8">
        <f>36+2+15+2+1+9+21+2+58+1</f>
        <v>147</v>
      </c>
      <c r="M8" s="8">
        <f>30+23+1+41+85+49+55</f>
        <v>284</v>
      </c>
      <c r="N8" s="8">
        <f>3+8+20+75</f>
        <v>106</v>
      </c>
      <c r="O8" s="8">
        <f>32+35+42+7+53+1+1+32+2+42</f>
        <v>247</v>
      </c>
      <c r="P8" s="8">
        <f>8+17+2+2</f>
        <v>29</v>
      </c>
      <c r="Q8" s="8">
        <f>16+7+20+30+2+10+2</f>
        <v>87</v>
      </c>
      <c r="R8" s="8">
        <f>42+14+1+1+2</f>
        <v>60</v>
      </c>
      <c r="S8" s="8">
        <f>31+1+1+32+37+18+34+20</f>
        <v>174</v>
      </c>
      <c r="T8" s="8">
        <f>13+1+1+7+1+15+3+35+1+14+17+1</f>
        <v>109</v>
      </c>
      <c r="U8" s="8">
        <f>4+19+1+11+1+6+12+6+26</f>
        <v>86</v>
      </c>
      <c r="V8" s="8">
        <f>1+2+1+1+3</f>
        <v>8</v>
      </c>
      <c r="W8" s="8">
        <f>45+39+1+16+2+19+1+46+24+1</f>
        <v>194</v>
      </c>
      <c r="X8" s="8">
        <f>2+1</f>
        <v>3</v>
      </c>
      <c r="Y8" s="8">
        <f>20+12+1+25+25</f>
        <v>83</v>
      </c>
      <c r="Z8" s="8">
        <f>10+1+7</f>
        <v>18</v>
      </c>
      <c r="AA8" s="8">
        <f>14+16+7+17+1+19+7+1+12</f>
        <v>94</v>
      </c>
      <c r="AB8" s="8">
        <f>68+61+31+26+2+49+39+3</f>
        <v>279</v>
      </c>
    </row>
    <row r="9" spans="1:28" s="9" customFormat="1" ht="18" customHeight="1">
      <c r="A9" s="7" t="s">
        <v>36</v>
      </c>
      <c r="B9" s="8" t="s">
        <v>31</v>
      </c>
      <c r="C9" s="8">
        <f>1+5+1</f>
        <v>7</v>
      </c>
      <c r="D9" s="8" t="s">
        <v>31</v>
      </c>
      <c r="E9" s="8">
        <f>3</f>
        <v>3</v>
      </c>
      <c r="F9" s="8">
        <f>2+2+12+7+2</f>
        <v>25</v>
      </c>
      <c r="G9" s="8">
        <f>16+32+47+11+30+16</f>
        <v>152</v>
      </c>
      <c r="H9" s="8">
        <f>2</f>
        <v>2</v>
      </c>
      <c r="I9" s="8" t="s">
        <v>31</v>
      </c>
      <c r="J9" s="8">
        <f>54</f>
        <v>54</v>
      </c>
      <c r="K9" s="8"/>
      <c r="L9" s="8">
        <f>2</f>
        <v>2</v>
      </c>
      <c r="M9" s="8">
        <f>22+15+15+25</f>
        <v>77</v>
      </c>
      <c r="N9" s="8" t="s">
        <v>31</v>
      </c>
      <c r="O9" s="8" t="s">
        <v>31</v>
      </c>
      <c r="P9" s="8">
        <f>23</f>
        <v>23</v>
      </c>
      <c r="Q9" s="8">
        <f>2</f>
        <v>2</v>
      </c>
      <c r="R9" s="8">
        <f>10</f>
        <v>10</v>
      </c>
      <c r="S9" s="8" t="s">
        <v>31</v>
      </c>
      <c r="T9" s="8" t="s">
        <v>31</v>
      </c>
      <c r="U9" s="8" t="s">
        <v>31</v>
      </c>
      <c r="V9" s="8" t="s">
        <v>31</v>
      </c>
      <c r="W9" s="8">
        <f>1</f>
        <v>1</v>
      </c>
      <c r="X9" s="8">
        <f>29+25+14+1+20+14</f>
        <v>103</v>
      </c>
      <c r="Y9" s="8"/>
      <c r="Z9" s="8">
        <f>30+29+1+35</f>
        <v>95</v>
      </c>
      <c r="AA9" s="8" t="s">
        <v>31</v>
      </c>
      <c r="AB9" s="8" t="s">
        <v>31</v>
      </c>
    </row>
    <row r="10" spans="1:28" s="9" customFormat="1" ht="18" customHeight="1">
      <c r="A10" s="7" t="s">
        <v>37</v>
      </c>
      <c r="B10" s="8">
        <f>27+14+33+9</f>
        <v>83</v>
      </c>
      <c r="C10" s="8">
        <f>10+15</f>
        <v>25</v>
      </c>
      <c r="D10" s="8" t="s">
        <v>31</v>
      </c>
      <c r="E10" s="8">
        <f>10+2+2+32+25+6+38+17</f>
        <v>132</v>
      </c>
      <c r="F10" s="8">
        <f>11+2+2+11+3+3+7</f>
        <v>39</v>
      </c>
      <c r="G10" s="8">
        <f>40+27+51+45+36</f>
        <v>199</v>
      </c>
      <c r="H10" s="8">
        <f>35+22+44+33+35+37+9+1</f>
        <v>216</v>
      </c>
      <c r="I10" s="8" t="s">
        <v>31</v>
      </c>
      <c r="J10" s="8">
        <f>71+68+64+69+53</f>
        <v>325</v>
      </c>
      <c r="K10" s="8">
        <f>5+13+14</f>
        <v>32</v>
      </c>
      <c r="L10" s="8">
        <f>8+4+2+5+2+16</f>
        <v>37</v>
      </c>
      <c r="M10" s="8">
        <f>12</f>
        <v>12</v>
      </c>
      <c r="N10" s="8" t="s">
        <v>31</v>
      </c>
      <c r="O10" s="8" t="s">
        <v>31</v>
      </c>
      <c r="P10" s="8">
        <f>19+34+42</f>
        <v>95</v>
      </c>
      <c r="Q10" s="8"/>
      <c r="R10" s="8">
        <f>17</f>
        <v>17</v>
      </c>
      <c r="S10" s="8">
        <f>2+6+4</f>
        <v>12</v>
      </c>
      <c r="T10" s="8">
        <f>8+1+5</f>
        <v>14</v>
      </c>
      <c r="U10" s="8">
        <f>56+19+24+17+25+58+20</f>
        <v>219</v>
      </c>
      <c r="V10" s="8">
        <f>42+16+28+32+58+49+1+34+25</f>
        <v>285</v>
      </c>
      <c r="W10" s="8">
        <f>21+7</f>
        <v>28</v>
      </c>
      <c r="X10" s="8">
        <f>65+36+15+29+67+63</f>
        <v>275</v>
      </c>
      <c r="Y10" s="8">
        <f>37+41+5+14+15+30+47+43</f>
        <v>232</v>
      </c>
      <c r="Z10" s="8">
        <f>42+23+58+31+4+12+68+35</f>
        <v>273</v>
      </c>
      <c r="AA10" s="8">
        <f>59</f>
        <v>59</v>
      </c>
      <c r="AB10" s="8" t="s">
        <v>31</v>
      </c>
    </row>
    <row r="11" spans="1:28" s="9" customFormat="1" ht="18" customHeight="1">
      <c r="A11" s="7" t="s">
        <v>38</v>
      </c>
      <c r="B11" s="8">
        <f>31+1</f>
        <v>32</v>
      </c>
      <c r="C11" s="8">
        <f>8+9+10</f>
        <v>27</v>
      </c>
      <c r="D11" s="8">
        <f>30+23+16+15+27+18</f>
        <v>129</v>
      </c>
      <c r="E11" s="8" t="s">
        <v>31</v>
      </c>
      <c r="F11" s="8">
        <f>3</f>
        <v>3</v>
      </c>
      <c r="G11" s="8" t="s">
        <v>31</v>
      </c>
      <c r="H11" s="8" t="s">
        <v>31</v>
      </c>
      <c r="I11" s="8">
        <f>28+26+27+5+38+1+1+22</f>
        <v>148</v>
      </c>
      <c r="J11" s="8" t="s">
        <v>31</v>
      </c>
      <c r="K11" s="8">
        <f>23</f>
        <v>23</v>
      </c>
      <c r="L11" s="8" t="s">
        <v>31</v>
      </c>
      <c r="M11" s="8" t="s">
        <v>31</v>
      </c>
      <c r="N11" s="8">
        <f>22+26+13+19+16+20</f>
        <v>116</v>
      </c>
      <c r="O11" s="8">
        <f>8+31+8+8+2</f>
        <v>57</v>
      </c>
      <c r="P11" s="8">
        <f>27+6+23</f>
        <v>56</v>
      </c>
      <c r="Q11" s="8">
        <f>6+3+7+1+18+12</f>
        <v>47</v>
      </c>
      <c r="R11" s="8">
        <f>19+1+38</f>
        <v>58</v>
      </c>
      <c r="S11" s="8">
        <f>19+26+7+17</f>
        <v>69</v>
      </c>
      <c r="T11" s="8">
        <f>12+4+17+3</f>
        <v>36</v>
      </c>
      <c r="U11" s="8">
        <f>2+29+35</f>
        <v>66</v>
      </c>
      <c r="V11" s="8">
        <f>40</f>
        <v>40</v>
      </c>
      <c r="W11" s="8">
        <f>7+20+29+1+10+3</f>
        <v>70</v>
      </c>
      <c r="X11" s="8"/>
      <c r="Y11" s="8">
        <f>37</f>
        <v>37</v>
      </c>
      <c r="Z11" s="8"/>
      <c r="AA11" s="8">
        <f>29+15+24+2+20+28+11</f>
        <v>129</v>
      </c>
      <c r="AB11" s="8" t="s">
        <v>31</v>
      </c>
    </row>
    <row r="12" spans="1:28" s="9" customFormat="1" ht="18" customHeight="1">
      <c r="A12" s="7" t="s">
        <v>39</v>
      </c>
      <c r="B12" s="8">
        <f>1+2+5+2+1</f>
        <v>11</v>
      </c>
      <c r="C12" s="8">
        <f>4+1+1+3+2+1+2</f>
        <v>14</v>
      </c>
      <c r="D12" s="8">
        <f>1+5+1+1+4+1+2+3+6</f>
        <v>24</v>
      </c>
      <c r="E12" s="8">
        <f>2</f>
        <v>2</v>
      </c>
      <c r="F12" s="8">
        <f>4+1+1+2+2</f>
        <v>10</v>
      </c>
      <c r="G12" s="8">
        <f>2+1+2</f>
        <v>5</v>
      </c>
      <c r="H12" s="8">
        <f>5+1+2+2</f>
        <v>10</v>
      </c>
      <c r="I12" s="8">
        <f>8+2+7</f>
        <v>17</v>
      </c>
      <c r="J12" s="8">
        <f>1+3+1+1+2+8+1</f>
        <v>17</v>
      </c>
      <c r="K12" s="8">
        <f>2+2+2+1+2+1+1+11+2+6+1</f>
        <v>31</v>
      </c>
      <c r="L12" s="8">
        <f>1+1+3+7+6+3</f>
        <v>21</v>
      </c>
      <c r="M12" s="8">
        <f>2+1+1</f>
        <v>4</v>
      </c>
      <c r="N12" s="8">
        <f>5+2+1</f>
        <v>8</v>
      </c>
      <c r="O12" s="8">
        <f>4+1+1+2+4</f>
        <v>12</v>
      </c>
      <c r="P12" s="8" t="s">
        <v>31</v>
      </c>
      <c r="Q12" s="8">
        <f>1+5+2+1+8+4+2+4+14</f>
        <v>41</v>
      </c>
      <c r="R12" s="8">
        <f>1+1+1+2+3</f>
        <v>8</v>
      </c>
      <c r="S12" s="8">
        <f>5+2+5+1+1</f>
        <v>14</v>
      </c>
      <c r="T12" s="8">
        <f>7+1+2+1+5+1+1+3+1+5+4+1+4+2</f>
        <v>38</v>
      </c>
      <c r="U12" s="8">
        <f>2+4+3+10+1+12+2+3+4</f>
        <v>41</v>
      </c>
      <c r="V12" s="8">
        <f>1+7+4+2+2+1+1+1</f>
        <v>19</v>
      </c>
      <c r="W12" s="8">
        <f>1+12+2+1+2+2</f>
        <v>20</v>
      </c>
      <c r="X12" s="8">
        <f>2+2+1+2+3+3+2+2+1</f>
        <v>18</v>
      </c>
      <c r="Y12" s="8">
        <f>3+2+3+4+8+1+1+5+3+2+3+4</f>
        <v>39</v>
      </c>
      <c r="Z12" s="8">
        <f>2+4+2</f>
        <v>8</v>
      </c>
      <c r="AA12" s="8">
        <f>3+2+7+7+11+7+2</f>
        <v>39</v>
      </c>
      <c r="AB12" s="8">
        <f>10+1+2+2+3</f>
        <v>18</v>
      </c>
    </row>
    <row r="13" spans="1:28" s="9" customFormat="1" ht="18" customHeight="1">
      <c r="A13" s="7" t="s">
        <v>40</v>
      </c>
      <c r="B13" s="8" t="s">
        <v>31</v>
      </c>
      <c r="C13" s="8" t="s">
        <v>31</v>
      </c>
      <c r="D13" s="8" t="s">
        <v>31</v>
      </c>
      <c r="E13" s="8">
        <f>10</f>
        <v>10</v>
      </c>
      <c r="F13" s="8">
        <f>21</f>
        <v>21</v>
      </c>
      <c r="G13" s="8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8" t="s">
        <v>31</v>
      </c>
      <c r="N13" s="8" t="s">
        <v>31</v>
      </c>
      <c r="O13" s="8" t="s">
        <v>31</v>
      </c>
      <c r="P13" s="8" t="s">
        <v>31</v>
      </c>
      <c r="Q13" s="8" t="s">
        <v>31</v>
      </c>
      <c r="R13" s="8" t="s">
        <v>31</v>
      </c>
      <c r="S13" s="8" t="s">
        <v>31</v>
      </c>
      <c r="T13" s="8" t="s">
        <v>31</v>
      </c>
      <c r="U13" s="8" t="s">
        <v>31</v>
      </c>
      <c r="V13" s="8" t="s">
        <v>31</v>
      </c>
      <c r="W13" s="8" t="s">
        <v>31</v>
      </c>
      <c r="X13" s="8" t="s">
        <v>31</v>
      </c>
      <c r="Y13" s="8" t="s">
        <v>31</v>
      </c>
      <c r="Z13" s="8" t="s">
        <v>31</v>
      </c>
      <c r="AA13" s="8" t="s">
        <v>31</v>
      </c>
      <c r="AB13" s="8" t="s">
        <v>31</v>
      </c>
    </row>
    <row r="14" spans="1:28" s="9" customFormat="1" ht="18" customHeight="1">
      <c r="A14" s="10" t="s">
        <v>41</v>
      </c>
      <c r="B14" s="8">
        <f>2</f>
        <v>2</v>
      </c>
      <c r="C14" s="8" t="s">
        <v>31</v>
      </c>
      <c r="D14" s="8" t="s">
        <v>31</v>
      </c>
      <c r="E14" s="8" t="s">
        <v>31</v>
      </c>
      <c r="F14" s="8" t="s">
        <v>31</v>
      </c>
      <c r="G14" s="8">
        <f>22+1</f>
        <v>23</v>
      </c>
      <c r="H14" s="8">
        <f>8</f>
        <v>8</v>
      </c>
      <c r="I14" s="8">
        <f>11+11+4+17+9</f>
        <v>52</v>
      </c>
      <c r="J14" s="8" t="s">
        <v>31</v>
      </c>
      <c r="K14" s="8" t="s">
        <v>31</v>
      </c>
      <c r="L14" s="8" t="s">
        <v>31</v>
      </c>
      <c r="M14" s="8" t="s">
        <v>31</v>
      </c>
      <c r="N14" s="8" t="s">
        <v>31</v>
      </c>
      <c r="O14" s="8">
        <f>8</f>
        <v>8</v>
      </c>
      <c r="P14" s="8" t="s">
        <v>31</v>
      </c>
      <c r="Q14" s="8">
        <f>11</f>
        <v>11</v>
      </c>
      <c r="R14" s="8" t="s">
        <v>31</v>
      </c>
      <c r="S14" s="8">
        <f>5</f>
        <v>5</v>
      </c>
      <c r="T14" s="8">
        <f>5</f>
        <v>5</v>
      </c>
      <c r="U14" s="8" t="s">
        <v>31</v>
      </c>
      <c r="V14" s="8" t="s">
        <v>31</v>
      </c>
      <c r="W14" s="8" t="s">
        <v>31</v>
      </c>
      <c r="X14" s="8" t="s">
        <v>31</v>
      </c>
      <c r="Y14" s="8">
        <f>1</f>
        <v>1</v>
      </c>
      <c r="Z14" s="8">
        <f>2</f>
        <v>2</v>
      </c>
      <c r="AA14" s="8" t="s">
        <v>31</v>
      </c>
      <c r="AB14" s="8">
        <f>9</f>
        <v>9</v>
      </c>
    </row>
    <row r="15" spans="1:28" s="9" customFormat="1" ht="18" customHeight="1">
      <c r="A15" s="10" t="s">
        <v>42</v>
      </c>
      <c r="B15" s="8">
        <f>12</f>
        <v>12</v>
      </c>
      <c r="C15" s="8" t="s">
        <v>31</v>
      </c>
      <c r="D15" s="8">
        <f>13</f>
        <v>13</v>
      </c>
      <c r="E15" s="8" t="s">
        <v>31</v>
      </c>
      <c r="F15" s="8" t="s">
        <v>31</v>
      </c>
      <c r="G15" s="8" t="s">
        <v>31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31</v>
      </c>
      <c r="M15" s="8" t="s">
        <v>31</v>
      </c>
      <c r="N15" s="8" t="s">
        <v>31</v>
      </c>
      <c r="O15" s="8" t="s">
        <v>31</v>
      </c>
      <c r="P15" s="8" t="s">
        <v>31</v>
      </c>
      <c r="Q15" s="8" t="s">
        <v>31</v>
      </c>
      <c r="R15" s="8" t="s">
        <v>31</v>
      </c>
      <c r="S15" s="8" t="s">
        <v>31</v>
      </c>
      <c r="T15" s="8" t="s">
        <v>31</v>
      </c>
      <c r="U15" s="8" t="s">
        <v>31</v>
      </c>
      <c r="V15" s="8" t="s">
        <v>31</v>
      </c>
      <c r="W15" s="8" t="s">
        <v>31</v>
      </c>
      <c r="X15" s="8" t="s">
        <v>31</v>
      </c>
      <c r="Y15" s="8" t="s">
        <v>31</v>
      </c>
      <c r="Z15" s="8" t="s">
        <v>31</v>
      </c>
      <c r="AA15" s="8" t="s">
        <v>31</v>
      </c>
      <c r="AB15" s="8" t="s">
        <v>31</v>
      </c>
    </row>
    <row r="16" spans="1:28" s="9" customFormat="1" ht="18" customHeight="1">
      <c r="A16" s="10" t="s">
        <v>43</v>
      </c>
      <c r="B16" s="8" t="s">
        <v>31</v>
      </c>
      <c r="C16" s="8">
        <f>4</f>
        <v>4</v>
      </c>
      <c r="D16" s="8" t="s">
        <v>31</v>
      </c>
      <c r="E16" s="8" t="s">
        <v>31</v>
      </c>
      <c r="F16" s="8" t="s">
        <v>31</v>
      </c>
      <c r="G16" s="8" t="s">
        <v>31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8" t="s">
        <v>31</v>
      </c>
      <c r="V16" s="8">
        <f>5+3</f>
        <v>8</v>
      </c>
      <c r="W16" s="8" t="s">
        <v>31</v>
      </c>
      <c r="X16" s="8" t="s">
        <v>31</v>
      </c>
      <c r="Y16" s="8" t="s">
        <v>31</v>
      </c>
      <c r="Z16" s="8" t="s">
        <v>31</v>
      </c>
      <c r="AA16" s="8" t="s">
        <v>31</v>
      </c>
      <c r="AB16" s="8" t="s">
        <v>31</v>
      </c>
    </row>
    <row r="17" spans="1:28" s="9" customFormat="1" ht="18" customHeight="1">
      <c r="A17" s="7" t="s">
        <v>44</v>
      </c>
      <c r="B17" s="8" t="s">
        <v>31</v>
      </c>
      <c r="C17" s="8" t="s">
        <v>31</v>
      </c>
      <c r="D17" s="8" t="s">
        <v>31</v>
      </c>
      <c r="E17" s="8">
        <f>1</f>
        <v>1</v>
      </c>
      <c r="F17" s="8">
        <f>4</f>
        <v>4</v>
      </c>
      <c r="G17" s="8" t="s">
        <v>31</v>
      </c>
      <c r="H17" s="8" t="s">
        <v>31</v>
      </c>
      <c r="I17" s="8" t="s">
        <v>31</v>
      </c>
      <c r="J17" s="8" t="s">
        <v>31</v>
      </c>
      <c r="K17" s="8" t="s">
        <v>31</v>
      </c>
      <c r="L17" s="8" t="s">
        <v>31</v>
      </c>
      <c r="M17" s="8" t="s">
        <v>31</v>
      </c>
      <c r="N17" s="8" t="s">
        <v>31</v>
      </c>
      <c r="O17" s="8" t="s">
        <v>31</v>
      </c>
      <c r="P17" s="8" t="s">
        <v>31</v>
      </c>
      <c r="Q17" s="8" t="s">
        <v>31</v>
      </c>
      <c r="R17" s="8" t="s">
        <v>31</v>
      </c>
      <c r="S17" s="8">
        <f>2</f>
        <v>2</v>
      </c>
      <c r="T17" s="8" t="s">
        <v>31</v>
      </c>
      <c r="U17" s="8" t="s">
        <v>31</v>
      </c>
      <c r="V17" s="8" t="s">
        <v>31</v>
      </c>
      <c r="W17" s="8" t="s">
        <v>31</v>
      </c>
      <c r="X17" s="8" t="s">
        <v>31</v>
      </c>
      <c r="Y17" s="8" t="s">
        <v>31</v>
      </c>
      <c r="Z17" s="8" t="s">
        <v>31</v>
      </c>
      <c r="AA17" s="8" t="s">
        <v>31</v>
      </c>
      <c r="AB17" s="8" t="s">
        <v>31</v>
      </c>
    </row>
    <row r="18" spans="1:28" s="9" customFormat="1" ht="18" customHeight="1">
      <c r="A18" s="7" t="s">
        <v>45</v>
      </c>
      <c r="B18" s="8">
        <f>1+1+2+1+2+2+3</f>
        <v>12</v>
      </c>
      <c r="C18" s="8">
        <f>1+6+1+1+1</f>
        <v>10</v>
      </c>
      <c r="D18" s="8">
        <f>5+1+2+1+4</f>
        <v>13</v>
      </c>
      <c r="E18" s="8">
        <f>3+3+1+1</f>
        <v>8</v>
      </c>
      <c r="F18" s="8">
        <f>1+7</f>
        <v>8</v>
      </c>
      <c r="G18" s="8">
        <f>8+1+6+1+3+7+4+1+15</f>
        <v>46</v>
      </c>
      <c r="H18" s="8">
        <f>6+1+14+1+12+18+3+10+1+1</f>
        <v>67</v>
      </c>
      <c r="I18" s="8">
        <f>1+4+5+7</f>
        <v>17</v>
      </c>
      <c r="J18" s="8">
        <f>1+6+2+4+4+1+5+4+2+1+2+1</f>
        <v>33</v>
      </c>
      <c r="K18" s="8">
        <f>2+1+2+3+2+4+2+1</f>
        <v>17</v>
      </c>
      <c r="L18" s="8">
        <f>2+2</f>
        <v>4</v>
      </c>
      <c r="M18" s="8" t="s">
        <v>31</v>
      </c>
      <c r="N18" s="8">
        <f>2+2+4</f>
        <v>8</v>
      </c>
      <c r="O18" s="8">
        <f>2+5+1+1+3+1+1</f>
        <v>14</v>
      </c>
      <c r="P18" s="8">
        <f>1+1+3+3+6+2</f>
        <v>16</v>
      </c>
      <c r="Q18" s="8">
        <f>4+1+3+6</f>
        <v>14</v>
      </c>
      <c r="R18" s="8">
        <f>1+1+4+1+1+2</f>
        <v>10</v>
      </c>
      <c r="S18" s="8">
        <f>4+2+6</f>
        <v>12</v>
      </c>
      <c r="T18" s="8">
        <f>4+1+4+4</f>
        <v>13</v>
      </c>
      <c r="U18" s="8">
        <f>9+1+7+1+8+1+3+2+1+8</f>
        <v>41</v>
      </c>
      <c r="V18" s="8">
        <f>5+1+1+15+7+3+1+2+3+6+1+6+1+1</f>
        <v>53</v>
      </c>
      <c r="W18" s="8">
        <f>3+10+1</f>
        <v>14</v>
      </c>
      <c r="X18" s="8">
        <f>8+3+7+7+5+2+2+3+1+1</f>
        <v>39</v>
      </c>
      <c r="Y18" s="8">
        <f>5+10+11+1+7+5+11+1+1+2+7</f>
        <v>61</v>
      </c>
      <c r="Z18" s="8">
        <f>3+1+3+1+1+1+15+8+1+1+1+5+5</f>
        <v>46</v>
      </c>
      <c r="AA18" s="8">
        <f>17+20+1+11+4+5+2+11+1+5</f>
        <v>77</v>
      </c>
      <c r="AB18" s="8">
        <f>2</f>
        <v>2</v>
      </c>
    </row>
    <row r="19" spans="1:28" s="9" customFormat="1" ht="18" customHeight="1">
      <c r="A19" s="7" t="s">
        <v>46</v>
      </c>
      <c r="B19" s="8" t="s">
        <v>31</v>
      </c>
      <c r="C19" s="8" t="s">
        <v>31</v>
      </c>
      <c r="D19" s="8" t="s">
        <v>31</v>
      </c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31</v>
      </c>
      <c r="J19" s="8" t="s">
        <v>31</v>
      </c>
      <c r="K19" s="8" t="s">
        <v>31</v>
      </c>
      <c r="L19" s="8" t="s">
        <v>31</v>
      </c>
      <c r="M19" s="8" t="s">
        <v>31</v>
      </c>
      <c r="N19" s="8" t="s">
        <v>31</v>
      </c>
      <c r="O19" s="8" t="s">
        <v>31</v>
      </c>
      <c r="P19" s="8" t="s">
        <v>31</v>
      </c>
      <c r="Q19" s="8" t="s">
        <v>31</v>
      </c>
      <c r="R19" s="8" t="s">
        <v>31</v>
      </c>
      <c r="S19" s="8" t="s">
        <v>31</v>
      </c>
      <c r="T19" s="8" t="s">
        <v>31</v>
      </c>
      <c r="U19" s="8" t="s">
        <v>31</v>
      </c>
      <c r="V19" s="8" t="s">
        <v>31</v>
      </c>
      <c r="W19" s="8" t="s">
        <v>31</v>
      </c>
      <c r="X19" s="8" t="s">
        <v>31</v>
      </c>
      <c r="Y19" s="8" t="s">
        <v>31</v>
      </c>
      <c r="Z19" s="8" t="s">
        <v>31</v>
      </c>
      <c r="AA19" s="8" t="s">
        <v>31</v>
      </c>
      <c r="AB19" s="8" t="s">
        <v>31</v>
      </c>
    </row>
    <row r="20" spans="1:28" s="9" customFormat="1" ht="18" customHeight="1">
      <c r="A20" s="7" t="s">
        <v>47</v>
      </c>
      <c r="B20" s="8">
        <f>1+1</f>
        <v>2</v>
      </c>
      <c r="C20" s="8" t="s">
        <v>31</v>
      </c>
      <c r="D20" s="8" t="s">
        <v>31</v>
      </c>
      <c r="E20" s="8">
        <f>1</f>
        <v>1</v>
      </c>
      <c r="F20" s="8" t="s">
        <v>31</v>
      </c>
      <c r="G20" s="8" t="s">
        <v>31</v>
      </c>
      <c r="H20" s="8">
        <f>1</f>
        <v>1</v>
      </c>
      <c r="I20" s="8">
        <f>4</f>
        <v>4</v>
      </c>
      <c r="J20" s="8">
        <f>1</f>
        <v>1</v>
      </c>
      <c r="K20" s="8">
        <f>1+1</f>
        <v>2</v>
      </c>
      <c r="L20" s="8" t="s">
        <v>31</v>
      </c>
      <c r="M20" s="8" t="s">
        <v>31</v>
      </c>
      <c r="N20" s="8" t="s">
        <v>31</v>
      </c>
      <c r="O20" s="8" t="s">
        <v>31</v>
      </c>
      <c r="P20" s="8" t="s">
        <v>31</v>
      </c>
      <c r="Q20" s="8" t="s">
        <v>31</v>
      </c>
      <c r="R20" s="8">
        <f>1+1</f>
        <v>2</v>
      </c>
      <c r="S20" s="8" t="s">
        <v>31</v>
      </c>
      <c r="T20" s="8">
        <f>4</f>
        <v>4</v>
      </c>
      <c r="U20" s="8" t="s">
        <v>31</v>
      </c>
      <c r="V20" s="8">
        <f>3+3+1</f>
        <v>7</v>
      </c>
      <c r="W20" s="8" t="s">
        <v>31</v>
      </c>
      <c r="X20" s="8" t="s">
        <v>31</v>
      </c>
      <c r="Y20" s="8" t="s">
        <v>31</v>
      </c>
      <c r="Z20" s="8" t="s">
        <v>31</v>
      </c>
      <c r="AA20" s="8" t="s">
        <v>31</v>
      </c>
      <c r="AB20" s="8" t="s">
        <v>31</v>
      </c>
    </row>
    <row r="21" spans="1:28" s="9" customFormat="1" ht="18" customHeight="1">
      <c r="A21" s="7" t="s">
        <v>48</v>
      </c>
      <c r="B21" s="8">
        <f>1</f>
        <v>1</v>
      </c>
      <c r="C21" s="8">
        <f>2+1+1</f>
        <v>4</v>
      </c>
      <c r="D21" s="8" t="s">
        <v>31</v>
      </c>
      <c r="E21" s="8" t="s">
        <v>31</v>
      </c>
      <c r="F21" s="8" t="s">
        <v>31</v>
      </c>
      <c r="G21" s="8">
        <f>6+2+1+2+1+1+6+2+4</f>
        <v>25</v>
      </c>
      <c r="H21" s="8">
        <f>1+1+1</f>
        <v>3</v>
      </c>
      <c r="I21" s="8" t="s">
        <v>31</v>
      </c>
      <c r="J21" s="8">
        <f>5+1+1+2</f>
        <v>9</v>
      </c>
      <c r="K21" s="8" t="s">
        <v>31</v>
      </c>
      <c r="L21" s="8" t="s">
        <v>31</v>
      </c>
      <c r="M21" s="8" t="s">
        <v>31</v>
      </c>
      <c r="N21" s="8" t="s">
        <v>31</v>
      </c>
      <c r="O21" s="8" t="s">
        <v>31</v>
      </c>
      <c r="P21" s="8" t="s">
        <v>31</v>
      </c>
      <c r="Q21" s="8" t="s">
        <v>31</v>
      </c>
      <c r="R21" s="8" t="s">
        <v>31</v>
      </c>
      <c r="S21" s="8" t="s">
        <v>31</v>
      </c>
      <c r="T21" s="8" t="s">
        <v>31</v>
      </c>
      <c r="U21" s="8" t="s">
        <v>31</v>
      </c>
      <c r="V21" s="8">
        <f>1+1+2+1+1+1+4</f>
        <v>11</v>
      </c>
      <c r="W21" s="8" t="s">
        <v>31</v>
      </c>
      <c r="X21" s="8">
        <f>7+8+9+1+7+2+6+6+1</f>
        <v>47</v>
      </c>
      <c r="Y21" s="8">
        <f>4+1+1+5+2</f>
        <v>13</v>
      </c>
      <c r="Z21" s="8">
        <f>7+10+1+9+1+1+1+1+5+8</f>
        <v>44</v>
      </c>
      <c r="AA21" s="8">
        <f>1+6</f>
        <v>7</v>
      </c>
      <c r="AB21" s="8" t="s">
        <v>31</v>
      </c>
    </row>
    <row r="22" spans="1:28" s="9" customFormat="1" ht="18" customHeight="1">
      <c r="A22" s="11" t="s">
        <v>49</v>
      </c>
      <c r="B22" s="12">
        <f>10+33+2+1+3+9+35+2</f>
        <v>95</v>
      </c>
      <c r="C22" s="12">
        <f>53+19+2+14+1</f>
        <v>89</v>
      </c>
      <c r="D22" s="12">
        <f>10+5+1+1+2+68+2+2</f>
        <v>91</v>
      </c>
      <c r="E22" s="12">
        <f>52+2</f>
        <v>54</v>
      </c>
      <c r="F22" s="12">
        <f>2+6+29+45</f>
        <v>82</v>
      </c>
      <c r="G22" s="12" t="s">
        <v>31</v>
      </c>
      <c r="H22" s="12" t="s">
        <v>31</v>
      </c>
      <c r="I22" s="12">
        <f>12+1+7+6</f>
        <v>26</v>
      </c>
      <c r="J22" s="12">
        <f>2+3</f>
        <v>5</v>
      </c>
      <c r="K22" s="12">
        <f>20+10+49</f>
        <v>79</v>
      </c>
      <c r="L22" s="12">
        <f>36+56+9+1+38+2+1+1+4</f>
        <v>148</v>
      </c>
      <c r="M22" s="12">
        <f>13+3</f>
        <v>16</v>
      </c>
      <c r="N22" s="12">
        <f>9+49+1+5+29</f>
        <v>93</v>
      </c>
      <c r="O22" s="12">
        <f>10+2+3+3+10+7+9</f>
        <v>44</v>
      </c>
      <c r="P22" s="12">
        <f>6+34+78+22+1</f>
        <v>141</v>
      </c>
      <c r="Q22" s="12">
        <f>38+4+2+40+17+4+1+24+26+1+4</f>
        <v>161</v>
      </c>
      <c r="R22" s="12">
        <f>86+27+10+2+2</f>
        <v>127</v>
      </c>
      <c r="S22" s="12">
        <f>3+1+27+2</f>
        <v>33</v>
      </c>
      <c r="T22" s="12">
        <f>3+30+34+5+21</f>
        <v>93</v>
      </c>
      <c r="U22" s="12">
        <f>5+5+6+2+4+2</f>
        <v>24</v>
      </c>
      <c r="V22" s="12">
        <f>3+2+1</f>
        <v>6</v>
      </c>
      <c r="W22" s="12">
        <f>16+28+2+8+1</f>
        <v>55</v>
      </c>
      <c r="X22" s="12">
        <f>2</f>
        <v>2</v>
      </c>
      <c r="Y22" s="12">
        <f>4+1+5</f>
        <v>10</v>
      </c>
      <c r="Z22" s="12">
        <f>2</f>
        <v>2</v>
      </c>
      <c r="AA22" s="12">
        <f>7+4+9+6+2+2</f>
        <v>30</v>
      </c>
      <c r="AB22" s="12">
        <f>6+5+30+18</f>
        <v>59</v>
      </c>
    </row>
    <row r="23" spans="1:28" s="15" customFormat="1" ht="18" customHeight="1">
      <c r="A23" s="13" t="s">
        <v>50</v>
      </c>
      <c r="B23" s="14">
        <f>5+1+43+1+33+1+15</f>
        <v>99</v>
      </c>
      <c r="C23" s="14">
        <f>4+17+11+2</f>
        <v>34</v>
      </c>
      <c r="D23" s="14">
        <f>8+3+12+30+3</f>
        <v>56</v>
      </c>
      <c r="E23" s="14">
        <f>2+8</f>
        <v>10</v>
      </c>
      <c r="F23" s="14">
        <f>2+49+14+13</f>
        <v>78</v>
      </c>
      <c r="G23" s="14" t="s">
        <v>31</v>
      </c>
      <c r="H23" s="14">
        <f>6+2+8</f>
        <v>16</v>
      </c>
      <c r="I23" s="14">
        <f>1+3+3</f>
        <v>7</v>
      </c>
      <c r="J23" s="14">
        <f>2</f>
        <v>2</v>
      </c>
      <c r="K23" s="14">
        <f>2+2+29+7+2+8</f>
        <v>50</v>
      </c>
      <c r="L23" s="14">
        <f>30+2</f>
        <v>32</v>
      </c>
      <c r="M23" s="14">
        <f>21+1+20</f>
        <v>42</v>
      </c>
      <c r="N23" s="14">
        <f>27+12+29</f>
        <v>68</v>
      </c>
      <c r="O23" s="14">
        <f>2+5</f>
        <v>7</v>
      </c>
      <c r="P23" s="14">
        <f>28+16+23+16</f>
        <v>83</v>
      </c>
      <c r="Q23" s="14">
        <f>4</f>
        <v>4</v>
      </c>
      <c r="R23" s="14">
        <f>78+13+38</f>
        <v>129</v>
      </c>
      <c r="S23" s="14">
        <f>21+7+3+44</f>
        <v>75</v>
      </c>
      <c r="T23" s="14">
        <f>10+14+7</f>
        <v>31</v>
      </c>
      <c r="U23" s="14" t="s">
        <v>31</v>
      </c>
      <c r="V23" s="14">
        <f>2</f>
        <v>2</v>
      </c>
      <c r="W23" s="14">
        <f>6+8+14</f>
        <v>28</v>
      </c>
      <c r="X23" s="14">
        <f>3+1+1</f>
        <v>5</v>
      </c>
      <c r="Y23" s="14">
        <f>3+1+2+3+1</f>
        <v>10</v>
      </c>
      <c r="Z23" s="14">
        <f>17</f>
        <v>17</v>
      </c>
      <c r="AA23" s="14">
        <f>2+1+4+1+2+1</f>
        <v>11</v>
      </c>
      <c r="AB23" s="14">
        <f>42+7+6+1</f>
        <v>56</v>
      </c>
    </row>
    <row r="24" spans="1:28" s="9" customFormat="1" ht="18" customHeight="1">
      <c r="A24" s="16" t="s">
        <v>51</v>
      </c>
      <c r="B24" s="17">
        <f>4</f>
        <v>4</v>
      </c>
      <c r="C24" s="17" t="s">
        <v>31</v>
      </c>
      <c r="D24" s="17" t="s">
        <v>31</v>
      </c>
      <c r="E24" s="17" t="s">
        <v>31</v>
      </c>
      <c r="F24" s="17" t="s">
        <v>31</v>
      </c>
      <c r="G24" s="17" t="s">
        <v>31</v>
      </c>
      <c r="H24" s="17" t="s">
        <v>31</v>
      </c>
      <c r="I24" s="17" t="s">
        <v>31</v>
      </c>
      <c r="J24" s="17" t="s">
        <v>31</v>
      </c>
      <c r="K24" s="17" t="s">
        <v>31</v>
      </c>
      <c r="L24" s="17" t="s">
        <v>31</v>
      </c>
      <c r="M24" s="17" t="s">
        <v>31</v>
      </c>
      <c r="N24" s="17" t="s">
        <v>31</v>
      </c>
      <c r="O24" s="17" t="s">
        <v>31</v>
      </c>
      <c r="P24" s="17" t="s">
        <v>31</v>
      </c>
      <c r="Q24" s="17" t="s">
        <v>31</v>
      </c>
      <c r="R24" s="17" t="s">
        <v>31</v>
      </c>
      <c r="S24" s="17" t="s">
        <v>31</v>
      </c>
      <c r="T24" s="17" t="s">
        <v>31</v>
      </c>
      <c r="U24" s="17" t="s">
        <v>31</v>
      </c>
      <c r="V24" s="17" t="s">
        <v>31</v>
      </c>
      <c r="W24" s="17" t="s">
        <v>31</v>
      </c>
      <c r="X24" s="17" t="s">
        <v>31</v>
      </c>
      <c r="Y24" s="17" t="s">
        <v>31</v>
      </c>
      <c r="Z24" s="17" t="s">
        <v>31</v>
      </c>
      <c r="AA24" s="17" t="s">
        <v>31</v>
      </c>
      <c r="AB24" s="17" t="s">
        <v>31</v>
      </c>
    </row>
    <row r="25" spans="1:28" s="9" customFormat="1" ht="18" customHeight="1">
      <c r="A25" s="7" t="s">
        <v>52</v>
      </c>
      <c r="B25" s="8" t="s">
        <v>31</v>
      </c>
      <c r="C25" s="8">
        <f>6</f>
        <v>6</v>
      </c>
      <c r="D25" s="8" t="s">
        <v>31</v>
      </c>
      <c r="E25" s="8">
        <f>80+17+1+1+1</f>
        <v>100</v>
      </c>
      <c r="F25" s="8">
        <f>28+3</f>
        <v>31</v>
      </c>
      <c r="G25" s="8" t="s">
        <v>31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31</v>
      </c>
      <c r="M25" s="8" t="s">
        <v>31</v>
      </c>
      <c r="N25" s="8" t="s">
        <v>31</v>
      </c>
      <c r="O25" s="8" t="s">
        <v>31</v>
      </c>
      <c r="P25" s="8" t="s">
        <v>31</v>
      </c>
      <c r="Q25" s="8" t="s">
        <v>31</v>
      </c>
      <c r="R25" s="8" t="s">
        <v>31</v>
      </c>
      <c r="S25" s="8" t="s">
        <v>31</v>
      </c>
      <c r="T25" s="8" t="s">
        <v>31</v>
      </c>
      <c r="U25" s="8" t="s">
        <v>31</v>
      </c>
      <c r="V25" s="8" t="s">
        <v>31</v>
      </c>
      <c r="W25" s="8" t="s">
        <v>31</v>
      </c>
      <c r="X25" s="8" t="s">
        <v>31</v>
      </c>
      <c r="Y25" s="8" t="s">
        <v>31</v>
      </c>
      <c r="Z25" s="8" t="s">
        <v>31</v>
      </c>
      <c r="AA25" s="8" t="s">
        <v>31</v>
      </c>
      <c r="AB25" s="8" t="s">
        <v>31</v>
      </c>
    </row>
    <row r="26" spans="1:28" s="9" customFormat="1" ht="18" customHeight="1">
      <c r="A26" s="10" t="s">
        <v>53</v>
      </c>
      <c r="B26" s="8" t="s">
        <v>31</v>
      </c>
      <c r="C26" s="8" t="s">
        <v>31</v>
      </c>
      <c r="D26" s="8" t="s">
        <v>31</v>
      </c>
      <c r="E26" s="8">
        <f>14</f>
        <v>14</v>
      </c>
      <c r="F26" s="8" t="s">
        <v>31</v>
      </c>
      <c r="G26" s="8" t="s">
        <v>31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8" t="s">
        <v>31</v>
      </c>
      <c r="R26" s="8" t="s">
        <v>31</v>
      </c>
      <c r="S26" s="8" t="s">
        <v>31</v>
      </c>
      <c r="T26" s="8" t="s">
        <v>31</v>
      </c>
      <c r="U26" s="8" t="s">
        <v>31</v>
      </c>
      <c r="V26" s="8" t="s">
        <v>31</v>
      </c>
      <c r="W26" s="8" t="s">
        <v>31</v>
      </c>
      <c r="X26" s="8" t="s">
        <v>31</v>
      </c>
      <c r="Y26" s="8" t="s">
        <v>31</v>
      </c>
      <c r="Z26" s="8" t="s">
        <v>31</v>
      </c>
      <c r="AA26" s="8" t="s">
        <v>31</v>
      </c>
      <c r="AB26" s="8" t="s">
        <v>31</v>
      </c>
    </row>
    <row r="27" spans="1:28" s="9" customFormat="1" ht="18" customHeight="1">
      <c r="A27" s="7" t="s">
        <v>54</v>
      </c>
      <c r="B27" s="8">
        <f>11</f>
        <v>11</v>
      </c>
      <c r="C27" s="8">
        <f>2</f>
        <v>2</v>
      </c>
      <c r="D27" s="8" t="s">
        <v>31</v>
      </c>
      <c r="E27" s="8" t="s">
        <v>31</v>
      </c>
      <c r="F27" s="8" t="s">
        <v>31</v>
      </c>
      <c r="G27" s="8" t="s">
        <v>31</v>
      </c>
      <c r="H27" s="8" t="s">
        <v>31</v>
      </c>
      <c r="I27" s="8">
        <f>40+4</f>
        <v>44</v>
      </c>
      <c r="J27" s="8" t="s">
        <v>31</v>
      </c>
      <c r="K27" s="8" t="s">
        <v>31</v>
      </c>
      <c r="L27" s="8" t="s">
        <v>31</v>
      </c>
      <c r="M27" s="8" t="s">
        <v>31</v>
      </c>
      <c r="N27" s="8" t="s">
        <v>31</v>
      </c>
      <c r="O27" s="8" t="s">
        <v>31</v>
      </c>
      <c r="P27" s="8">
        <f>3</f>
        <v>3</v>
      </c>
      <c r="Q27" s="8" t="s">
        <v>31</v>
      </c>
      <c r="R27" s="8" t="s">
        <v>31</v>
      </c>
      <c r="S27" s="8" t="s">
        <v>31</v>
      </c>
      <c r="T27" s="8">
        <f>4+30</f>
        <v>34</v>
      </c>
      <c r="U27" s="8" t="s">
        <v>31</v>
      </c>
      <c r="V27" s="8" t="s">
        <v>31</v>
      </c>
      <c r="W27" s="8" t="s">
        <v>31</v>
      </c>
      <c r="X27" s="8" t="s">
        <v>31</v>
      </c>
      <c r="Y27" s="8" t="s">
        <v>31</v>
      </c>
      <c r="Z27" s="8" t="s">
        <v>31</v>
      </c>
      <c r="AA27" s="8" t="s">
        <v>31</v>
      </c>
      <c r="AB27" s="8" t="s">
        <v>31</v>
      </c>
    </row>
    <row r="28" spans="1:28" s="9" customFormat="1" ht="18" customHeight="1">
      <c r="A28" s="7" t="s">
        <v>55</v>
      </c>
      <c r="B28" s="8">
        <f>4+1+4</f>
        <v>9</v>
      </c>
      <c r="C28" s="8">
        <f>1+2+2+4+5</f>
        <v>14</v>
      </c>
      <c r="D28" s="8">
        <f>7+2+4</f>
        <v>13</v>
      </c>
      <c r="E28" s="8">
        <f>1+9+1+1</f>
        <v>12</v>
      </c>
      <c r="F28" s="8">
        <f>1+1</f>
        <v>2</v>
      </c>
      <c r="G28" s="8">
        <f>6+10+5+2+9</f>
        <v>32</v>
      </c>
      <c r="H28" s="8">
        <f>8+3+2+4+1+10+2+1+4</f>
        <v>35</v>
      </c>
      <c r="I28" s="8">
        <f>2+4+1+1+11+1</f>
        <v>20</v>
      </c>
      <c r="J28" s="8">
        <f>1+1+1+4+7+2+6</f>
        <v>22</v>
      </c>
      <c r="K28" s="8">
        <f>5+5+2+3+4+1+4+2+4+2+9</f>
        <v>41</v>
      </c>
      <c r="L28" s="8">
        <f>8+1+14+1</f>
        <v>24</v>
      </c>
      <c r="M28" s="8">
        <f>2+3</f>
        <v>5</v>
      </c>
      <c r="N28" s="8">
        <f>2+2+7+11+4+1</f>
        <v>27</v>
      </c>
      <c r="O28" s="8">
        <f>4+4+1+1+10</f>
        <v>20</v>
      </c>
      <c r="P28" s="8">
        <f>2+3+1+2</f>
        <v>8</v>
      </c>
      <c r="Q28" s="8">
        <f>4+2+1+1+2+4</f>
        <v>14</v>
      </c>
      <c r="R28" s="8">
        <f>7+1+1</f>
        <v>9</v>
      </c>
      <c r="S28" s="8">
        <f>1+12+1+1+12</f>
        <v>27</v>
      </c>
      <c r="T28" s="8">
        <f>3+2+3</f>
        <v>8</v>
      </c>
      <c r="U28" s="8">
        <f>1+2+1+2+3+1+5+5+3</f>
        <v>23</v>
      </c>
      <c r="V28" s="8">
        <f>10+2+1+1+9+2+1</f>
        <v>26</v>
      </c>
      <c r="W28" s="8">
        <f>1+4+1+4+1</f>
        <v>11</v>
      </c>
      <c r="X28" s="8">
        <f>1+1+3+6+1</f>
        <v>12</v>
      </c>
      <c r="Y28" s="8">
        <f>2+1+4+2+1+2+1</f>
        <v>13</v>
      </c>
      <c r="Z28" s="8">
        <f>1+1+1+1+1</f>
        <v>5</v>
      </c>
      <c r="AA28" s="8">
        <f>3+2+1+1+2+1</f>
        <v>10</v>
      </c>
      <c r="AB28" s="8" t="s">
        <v>31</v>
      </c>
    </row>
    <row r="29" spans="1:28" s="9" customFormat="1" ht="18" customHeight="1">
      <c r="A29" s="7" t="s">
        <v>56</v>
      </c>
      <c r="B29" s="8">
        <f>1+1</f>
        <v>2</v>
      </c>
      <c r="C29" s="8" t="s">
        <v>31</v>
      </c>
      <c r="D29" s="8" t="s">
        <v>31</v>
      </c>
      <c r="E29" s="8">
        <f>1</f>
        <v>1</v>
      </c>
      <c r="F29" s="8">
        <f>2</f>
        <v>2</v>
      </c>
      <c r="G29" s="8" t="s">
        <v>31</v>
      </c>
      <c r="H29" s="8">
        <f>6+1+3+2</f>
        <v>12</v>
      </c>
      <c r="I29" s="8">
        <f>3</f>
        <v>3</v>
      </c>
      <c r="J29" s="8" t="s">
        <v>31</v>
      </c>
      <c r="K29" s="8" t="s">
        <v>31</v>
      </c>
      <c r="L29" s="8" t="s">
        <v>31</v>
      </c>
      <c r="M29" s="8" t="s">
        <v>31</v>
      </c>
      <c r="N29" s="8" t="s">
        <v>31</v>
      </c>
      <c r="O29" s="8">
        <f>2+3</f>
        <v>5</v>
      </c>
      <c r="P29" s="8">
        <f>1</f>
        <v>1</v>
      </c>
      <c r="Q29" s="8" t="s">
        <v>31</v>
      </c>
      <c r="R29" s="8" t="s">
        <v>31</v>
      </c>
      <c r="S29" s="8" t="s">
        <v>31</v>
      </c>
      <c r="T29" s="8" t="s">
        <v>31</v>
      </c>
      <c r="U29" s="8" t="s">
        <v>31</v>
      </c>
      <c r="V29" s="8">
        <f>4</f>
        <v>4</v>
      </c>
      <c r="W29" s="8" t="s">
        <v>31</v>
      </c>
      <c r="X29" s="8">
        <f>1+2</f>
        <v>3</v>
      </c>
      <c r="Y29" s="8">
        <f>1+2</f>
        <v>3</v>
      </c>
      <c r="Z29" s="8">
        <f>1</f>
        <v>1</v>
      </c>
      <c r="AA29" s="8" t="s">
        <v>31</v>
      </c>
      <c r="AB29" s="8" t="s">
        <v>31</v>
      </c>
    </row>
    <row r="30" spans="1:28" s="9" customFormat="1" ht="18" customHeight="1">
      <c r="A30" s="7" t="s">
        <v>57</v>
      </c>
      <c r="B30" s="8" t="s">
        <v>31</v>
      </c>
      <c r="C30" s="8" t="s">
        <v>31</v>
      </c>
      <c r="D30" s="8" t="s">
        <v>31</v>
      </c>
      <c r="E30" s="8" t="s">
        <v>31</v>
      </c>
      <c r="F30" s="8">
        <f>18+19</f>
        <v>37</v>
      </c>
      <c r="G30" s="8" t="s">
        <v>31</v>
      </c>
      <c r="H30" s="8" t="s">
        <v>31</v>
      </c>
      <c r="I30" s="8">
        <f>17</f>
        <v>17</v>
      </c>
      <c r="J30" s="8">
        <f>1</f>
        <v>1</v>
      </c>
      <c r="K30" s="8" t="s">
        <v>31</v>
      </c>
      <c r="L30" s="8" t="s">
        <v>31</v>
      </c>
      <c r="M30" s="8" t="s">
        <v>31</v>
      </c>
      <c r="N30" s="8" t="s">
        <v>31</v>
      </c>
      <c r="O30" s="8" t="s">
        <v>31</v>
      </c>
      <c r="P30" s="8" t="s">
        <v>31</v>
      </c>
      <c r="Q30" s="8" t="s">
        <v>31</v>
      </c>
      <c r="R30" s="8" t="s">
        <v>31</v>
      </c>
      <c r="S30" s="8" t="s">
        <v>31</v>
      </c>
      <c r="T30" s="8" t="s">
        <v>31</v>
      </c>
      <c r="U30" s="8" t="s">
        <v>31</v>
      </c>
      <c r="V30" s="8" t="s">
        <v>31</v>
      </c>
      <c r="W30" s="8" t="s">
        <v>31</v>
      </c>
      <c r="X30" s="8" t="s">
        <v>31</v>
      </c>
      <c r="Y30" s="8" t="s">
        <v>31</v>
      </c>
      <c r="Z30" s="8" t="s">
        <v>31</v>
      </c>
      <c r="AA30" s="8" t="s">
        <v>31</v>
      </c>
      <c r="AB30" s="8" t="s">
        <v>31</v>
      </c>
    </row>
    <row r="31" spans="1:28" s="9" customFormat="1" ht="18" customHeight="1">
      <c r="A31" s="7" t="s">
        <v>58</v>
      </c>
      <c r="B31" s="8" t="s">
        <v>31</v>
      </c>
      <c r="C31" s="8" t="s">
        <v>31</v>
      </c>
      <c r="D31" s="8" t="s">
        <v>31</v>
      </c>
      <c r="E31" s="8">
        <f>2+1</f>
        <v>3</v>
      </c>
      <c r="F31" s="8" t="s">
        <v>31</v>
      </c>
      <c r="G31" s="8">
        <f>1</f>
        <v>1</v>
      </c>
      <c r="H31" s="8">
        <f>1+2</f>
        <v>3</v>
      </c>
      <c r="I31" s="8" t="s">
        <v>31</v>
      </c>
      <c r="J31" s="8" t="s">
        <v>31</v>
      </c>
      <c r="K31" s="8" t="s">
        <v>31</v>
      </c>
      <c r="L31" s="8" t="s">
        <v>31</v>
      </c>
      <c r="M31" s="8" t="s">
        <v>31</v>
      </c>
      <c r="N31" s="8" t="s">
        <v>31</v>
      </c>
      <c r="O31" s="8" t="s">
        <v>31</v>
      </c>
      <c r="P31" s="8" t="s">
        <v>31</v>
      </c>
      <c r="Q31" s="8" t="s">
        <v>31</v>
      </c>
      <c r="R31" s="8">
        <f>1</f>
        <v>1</v>
      </c>
      <c r="S31" s="8" t="s">
        <v>31</v>
      </c>
      <c r="T31" s="8" t="s">
        <v>31</v>
      </c>
      <c r="U31" s="8">
        <f>1+2</f>
        <v>3</v>
      </c>
      <c r="V31" s="8">
        <f>1</f>
        <v>1</v>
      </c>
      <c r="W31" s="8" t="s">
        <v>31</v>
      </c>
      <c r="X31" s="8" t="s">
        <v>31</v>
      </c>
      <c r="Y31" s="8">
        <f>1+2</f>
        <v>3</v>
      </c>
      <c r="Z31" s="8">
        <f>1+1+1</f>
        <v>3</v>
      </c>
      <c r="AA31" s="8" t="s">
        <v>31</v>
      </c>
      <c r="AB31" s="8" t="s">
        <v>31</v>
      </c>
    </row>
    <row r="32" spans="1:28" s="9" customFormat="1" ht="18" customHeight="1">
      <c r="A32" s="18" t="s">
        <v>59</v>
      </c>
      <c r="B32" s="19">
        <f aca="true" t="shared" si="0" ref="B32:AB32">SUM(B3:B31)</f>
        <v>520</v>
      </c>
      <c r="C32" s="19">
        <f t="shared" si="0"/>
        <v>520</v>
      </c>
      <c r="D32" s="19">
        <f t="shared" si="0"/>
        <v>522</v>
      </c>
      <c r="E32" s="19">
        <f t="shared" si="0"/>
        <v>522</v>
      </c>
      <c r="F32" s="19">
        <f t="shared" si="0"/>
        <v>521</v>
      </c>
      <c r="G32" s="19">
        <f t="shared" si="0"/>
        <v>518</v>
      </c>
      <c r="H32" s="19">
        <f t="shared" si="0"/>
        <v>516</v>
      </c>
      <c r="I32" s="19">
        <f t="shared" si="0"/>
        <v>518</v>
      </c>
      <c r="J32" s="19">
        <f t="shared" si="0"/>
        <v>523</v>
      </c>
      <c r="K32" s="19">
        <f t="shared" si="0"/>
        <v>517</v>
      </c>
      <c r="L32" s="19">
        <f t="shared" si="0"/>
        <v>510</v>
      </c>
      <c r="M32" s="19">
        <f t="shared" si="0"/>
        <v>512</v>
      </c>
      <c r="N32" s="19">
        <f t="shared" si="0"/>
        <v>520</v>
      </c>
      <c r="O32" s="19">
        <f t="shared" si="0"/>
        <v>530</v>
      </c>
      <c r="P32" s="19">
        <f t="shared" si="0"/>
        <v>520</v>
      </c>
      <c r="Q32" s="19">
        <f t="shared" si="0"/>
        <v>515</v>
      </c>
      <c r="R32" s="19">
        <f t="shared" si="0"/>
        <v>520</v>
      </c>
      <c r="S32" s="19">
        <f t="shared" si="0"/>
        <v>524</v>
      </c>
      <c r="T32" s="19">
        <f t="shared" si="0"/>
        <v>518</v>
      </c>
      <c r="U32" s="19">
        <f t="shared" si="0"/>
        <v>525</v>
      </c>
      <c r="V32" s="19">
        <f t="shared" si="0"/>
        <v>518</v>
      </c>
      <c r="W32" s="19">
        <f t="shared" si="0"/>
        <v>515</v>
      </c>
      <c r="X32" s="19">
        <f t="shared" si="0"/>
        <v>523</v>
      </c>
      <c r="Y32" s="19">
        <f t="shared" si="0"/>
        <v>526</v>
      </c>
      <c r="Z32" s="19">
        <f t="shared" si="0"/>
        <v>523</v>
      </c>
      <c r="AA32" s="19">
        <f t="shared" si="0"/>
        <v>525</v>
      </c>
      <c r="AB32" s="19">
        <f t="shared" si="0"/>
        <v>522</v>
      </c>
    </row>
    <row r="33" spans="1:28" s="9" customFormat="1" ht="18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9" customFormat="1" ht="18" customHeight="1">
      <c r="A34" s="22" t="s">
        <v>60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9" customFormat="1" ht="18" customHeight="1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5" s="9" customFormat="1" ht="27.75" customHeight="1">
      <c r="A36" s="29" t="s">
        <v>61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s="9" customFormat="1" ht="27.75" customHeight="1">
      <c r="A37" s="23" t="s">
        <v>1</v>
      </c>
      <c r="B37" s="24" t="s">
        <v>2</v>
      </c>
      <c r="C37" s="24" t="s">
        <v>3</v>
      </c>
      <c r="D37" s="24" t="s">
        <v>3</v>
      </c>
      <c r="E37" s="24" t="s">
        <v>4</v>
      </c>
      <c r="F37" s="24" t="s">
        <v>4</v>
      </c>
      <c r="G37" s="24" t="s">
        <v>6</v>
      </c>
      <c r="H37" s="24" t="s">
        <v>7</v>
      </c>
      <c r="I37" s="24" t="s">
        <v>8</v>
      </c>
      <c r="J37" s="24" t="s">
        <v>9</v>
      </c>
      <c r="K37" s="24" t="s">
        <v>62</v>
      </c>
      <c r="L37" s="24" t="s">
        <v>63</v>
      </c>
      <c r="M37" s="24" t="s">
        <v>64</v>
      </c>
      <c r="N37" s="24" t="s">
        <v>65</v>
      </c>
      <c r="O37" s="24" t="s">
        <v>65</v>
      </c>
      <c r="P37" s="24" t="s">
        <v>66</v>
      </c>
      <c r="Q37" s="24" t="s">
        <v>67</v>
      </c>
      <c r="R37" s="24" t="s">
        <v>68</v>
      </c>
      <c r="S37" s="24" t="s">
        <v>69</v>
      </c>
      <c r="T37" s="24" t="s">
        <v>69</v>
      </c>
      <c r="U37" s="24" t="s">
        <v>70</v>
      </c>
      <c r="V37" s="24" t="s">
        <v>71</v>
      </c>
      <c r="W37" s="24" t="s">
        <v>71</v>
      </c>
      <c r="X37" s="24" t="s">
        <v>72</v>
      </c>
      <c r="Y37" s="24" t="s">
        <v>72</v>
      </c>
      <c r="Z37" s="24" t="s">
        <v>73</v>
      </c>
      <c r="AA37" s="24" t="s">
        <v>74</v>
      </c>
      <c r="AB37" s="24" t="s">
        <v>75</v>
      </c>
      <c r="AC37" s="24" t="s">
        <v>76</v>
      </c>
      <c r="AD37" s="24" t="s">
        <v>77</v>
      </c>
      <c r="AE37" s="24" t="s">
        <v>78</v>
      </c>
      <c r="AF37" s="24" t="s">
        <v>79</v>
      </c>
      <c r="AG37" s="24" t="s">
        <v>80</v>
      </c>
      <c r="AH37" s="24" t="s">
        <v>81</v>
      </c>
      <c r="AI37" s="24" t="s">
        <v>82</v>
      </c>
    </row>
    <row r="38" spans="1:35" s="9" customFormat="1" ht="18" customHeight="1">
      <c r="A38" s="25" t="s">
        <v>83</v>
      </c>
      <c r="B38" s="26">
        <v>67</v>
      </c>
      <c r="C38" s="26">
        <v>50</v>
      </c>
      <c r="D38" s="26">
        <v>35</v>
      </c>
      <c r="E38" s="26">
        <v>44</v>
      </c>
      <c r="F38" s="26">
        <v>24</v>
      </c>
      <c r="G38" s="26">
        <v>13</v>
      </c>
      <c r="H38" s="26">
        <v>104</v>
      </c>
      <c r="I38" s="26">
        <v>272</v>
      </c>
      <c r="J38" s="26">
        <v>32</v>
      </c>
      <c r="K38" s="26">
        <v>29</v>
      </c>
      <c r="L38" s="26">
        <v>58</v>
      </c>
      <c r="M38" s="26">
        <v>6</v>
      </c>
      <c r="N38" s="26">
        <v>9</v>
      </c>
      <c r="O38" s="26">
        <v>8</v>
      </c>
      <c r="P38" s="26">
        <v>20</v>
      </c>
      <c r="Q38" s="26">
        <v>78</v>
      </c>
      <c r="R38" s="26">
        <v>70</v>
      </c>
      <c r="S38" s="26">
        <v>26</v>
      </c>
      <c r="T38" s="26">
        <v>29</v>
      </c>
      <c r="U38" s="26">
        <v>14</v>
      </c>
      <c r="V38" s="26">
        <v>32</v>
      </c>
      <c r="W38" s="26">
        <v>11</v>
      </c>
      <c r="X38" s="26">
        <v>39</v>
      </c>
      <c r="Y38" s="26">
        <v>11</v>
      </c>
      <c r="Z38" s="26">
        <v>83</v>
      </c>
      <c r="AA38" s="26">
        <v>99</v>
      </c>
      <c r="AB38" s="26">
        <v>128</v>
      </c>
      <c r="AC38" s="26">
        <v>42</v>
      </c>
      <c r="AD38" s="26">
        <v>84</v>
      </c>
      <c r="AE38" s="26">
        <v>378</v>
      </c>
      <c r="AF38" s="26">
        <v>108</v>
      </c>
      <c r="AG38" s="26">
        <v>255</v>
      </c>
      <c r="AH38" s="26">
        <v>162</v>
      </c>
      <c r="AI38" s="26">
        <v>7</v>
      </c>
    </row>
    <row r="39" spans="1:35" s="9" customFormat="1" ht="18" customHeight="1">
      <c r="A39" s="25" t="s">
        <v>84</v>
      </c>
      <c r="B39" s="26">
        <v>48</v>
      </c>
      <c r="C39" s="26">
        <v>19</v>
      </c>
      <c r="D39" s="26">
        <v>8</v>
      </c>
      <c r="E39" s="26">
        <v>14</v>
      </c>
      <c r="F39" s="26">
        <v>2</v>
      </c>
      <c r="G39" s="26">
        <v>6</v>
      </c>
      <c r="H39" s="26">
        <v>28</v>
      </c>
      <c r="I39" s="26">
        <v>24</v>
      </c>
      <c r="J39" s="26">
        <v>19</v>
      </c>
      <c r="K39" s="26">
        <v>4</v>
      </c>
      <c r="L39" s="26">
        <v>20</v>
      </c>
      <c r="M39" s="26">
        <v>2</v>
      </c>
      <c r="N39" s="26">
        <v>1</v>
      </c>
      <c r="O39" s="26">
        <v>2</v>
      </c>
      <c r="P39" s="26">
        <v>2</v>
      </c>
      <c r="Q39" s="26">
        <v>12</v>
      </c>
      <c r="R39" s="26">
        <v>25</v>
      </c>
      <c r="S39" s="26">
        <v>16</v>
      </c>
      <c r="T39" s="26">
        <v>9</v>
      </c>
      <c r="U39" s="26">
        <v>4</v>
      </c>
      <c r="V39" s="26">
        <v>7</v>
      </c>
      <c r="W39" s="26">
        <v>2</v>
      </c>
      <c r="X39" s="26">
        <v>7</v>
      </c>
      <c r="Y39" s="26">
        <v>9</v>
      </c>
      <c r="Z39" s="26">
        <v>5</v>
      </c>
      <c r="AA39" s="26">
        <v>13</v>
      </c>
      <c r="AB39" s="26">
        <v>20</v>
      </c>
      <c r="AC39" s="26">
        <v>14</v>
      </c>
      <c r="AD39" s="26">
        <v>56</v>
      </c>
      <c r="AE39" s="26">
        <v>144</v>
      </c>
      <c r="AF39" s="26">
        <v>68</v>
      </c>
      <c r="AG39" s="26">
        <v>90</v>
      </c>
      <c r="AH39" s="26">
        <v>60</v>
      </c>
      <c r="AI39" s="26">
        <v>4</v>
      </c>
    </row>
    <row r="40" spans="1:35" s="22" customFormat="1" ht="18" customHeight="1">
      <c r="A40" s="25" t="s">
        <v>85</v>
      </c>
      <c r="B40" s="26">
        <v>1</v>
      </c>
      <c r="C40" s="26">
        <v>10</v>
      </c>
      <c r="D40" s="26">
        <v>2</v>
      </c>
      <c r="E40" s="26">
        <v>10</v>
      </c>
      <c r="F40" s="26">
        <v>2</v>
      </c>
      <c r="G40" s="26">
        <v>1</v>
      </c>
      <c r="H40" s="26">
        <v>4</v>
      </c>
      <c r="I40" s="26">
        <v>14</v>
      </c>
      <c r="J40" s="26">
        <v>7</v>
      </c>
      <c r="K40" s="26">
        <v>2</v>
      </c>
      <c r="L40" s="26">
        <v>6</v>
      </c>
      <c r="M40" s="26">
        <v>1</v>
      </c>
      <c r="N40" s="26" t="s">
        <v>31</v>
      </c>
      <c r="O40" s="26" t="s">
        <v>31</v>
      </c>
      <c r="P40" s="26" t="s">
        <v>31</v>
      </c>
      <c r="Q40" s="26">
        <v>20</v>
      </c>
      <c r="R40" s="26">
        <v>5</v>
      </c>
      <c r="S40" s="26">
        <v>2</v>
      </c>
      <c r="T40" s="26">
        <v>7</v>
      </c>
      <c r="U40" s="26">
        <v>2</v>
      </c>
      <c r="V40" s="26" t="s">
        <v>31</v>
      </c>
      <c r="W40" s="26">
        <v>1</v>
      </c>
      <c r="X40" s="26">
        <v>12</v>
      </c>
      <c r="Y40" s="26">
        <v>5</v>
      </c>
      <c r="Z40" s="26">
        <v>16</v>
      </c>
      <c r="AA40" s="26">
        <v>20</v>
      </c>
      <c r="AB40" s="26">
        <v>16</v>
      </c>
      <c r="AC40" s="26">
        <v>3</v>
      </c>
      <c r="AD40" s="26">
        <v>16</v>
      </c>
      <c r="AE40" s="26">
        <v>6</v>
      </c>
      <c r="AF40" s="26">
        <v>8</v>
      </c>
      <c r="AG40" s="26" t="s">
        <v>31</v>
      </c>
      <c r="AH40" s="26" t="s">
        <v>31</v>
      </c>
      <c r="AI40" s="26" t="s">
        <v>31</v>
      </c>
    </row>
    <row r="41" spans="1:35" s="22" customFormat="1" ht="18" customHeight="1">
      <c r="A41" s="25" t="s">
        <v>86</v>
      </c>
      <c r="B41" s="26" t="s">
        <v>31</v>
      </c>
      <c r="C41" s="26" t="s">
        <v>31</v>
      </c>
      <c r="D41" s="26">
        <v>2</v>
      </c>
      <c r="E41" s="26">
        <v>1</v>
      </c>
      <c r="F41" s="26">
        <v>4</v>
      </c>
      <c r="G41" s="26" t="s">
        <v>31</v>
      </c>
      <c r="H41" s="26">
        <v>20</v>
      </c>
      <c r="I41" s="26">
        <v>2</v>
      </c>
      <c r="J41" s="26" t="s">
        <v>31</v>
      </c>
      <c r="K41" s="26">
        <v>1</v>
      </c>
      <c r="L41" s="26">
        <v>1</v>
      </c>
      <c r="M41" s="26" t="s">
        <v>31</v>
      </c>
      <c r="N41" s="26" t="s">
        <v>31</v>
      </c>
      <c r="O41" s="26" t="s">
        <v>31</v>
      </c>
      <c r="P41" s="26" t="s">
        <v>31</v>
      </c>
      <c r="Q41" s="26">
        <v>1</v>
      </c>
      <c r="R41" s="26" t="s">
        <v>31</v>
      </c>
      <c r="S41" s="26" t="s">
        <v>31</v>
      </c>
      <c r="T41" s="26" t="s">
        <v>31</v>
      </c>
      <c r="U41" s="26" t="s">
        <v>31</v>
      </c>
      <c r="V41" s="26" t="s">
        <v>31</v>
      </c>
      <c r="W41" s="26" t="s">
        <v>31</v>
      </c>
      <c r="X41" s="26" t="s">
        <v>31</v>
      </c>
      <c r="Y41" s="26" t="s">
        <v>31</v>
      </c>
      <c r="Z41" s="26" t="s">
        <v>31</v>
      </c>
      <c r="AA41" s="26">
        <v>2</v>
      </c>
      <c r="AB41" s="26">
        <v>16</v>
      </c>
      <c r="AC41" s="26">
        <v>1</v>
      </c>
      <c r="AD41" s="26">
        <v>4</v>
      </c>
      <c r="AE41" s="26">
        <v>36</v>
      </c>
      <c r="AF41" s="26">
        <v>8</v>
      </c>
      <c r="AG41" s="26">
        <v>3</v>
      </c>
      <c r="AH41" s="26">
        <v>24</v>
      </c>
      <c r="AI41" s="26" t="s">
        <v>31</v>
      </c>
    </row>
    <row r="42" spans="1:35" ht="18" customHeight="1">
      <c r="A42" s="25" t="s">
        <v>41</v>
      </c>
      <c r="B42" s="26">
        <v>3</v>
      </c>
      <c r="C42" s="26">
        <v>1</v>
      </c>
      <c r="D42" s="26" t="s">
        <v>31</v>
      </c>
      <c r="E42" s="26" t="s">
        <v>31</v>
      </c>
      <c r="F42" s="26" t="s">
        <v>31</v>
      </c>
      <c r="G42" s="26">
        <v>1</v>
      </c>
      <c r="H42" s="26">
        <v>4</v>
      </c>
      <c r="I42" s="26">
        <v>12</v>
      </c>
      <c r="J42" s="26">
        <v>47</v>
      </c>
      <c r="K42" s="26">
        <v>1</v>
      </c>
      <c r="L42" s="26">
        <v>6</v>
      </c>
      <c r="M42" s="26" t="s">
        <v>31</v>
      </c>
      <c r="N42" s="26" t="s">
        <v>31</v>
      </c>
      <c r="O42" s="26">
        <v>3</v>
      </c>
      <c r="P42" s="26" t="s">
        <v>31</v>
      </c>
      <c r="Q42" s="26">
        <v>1</v>
      </c>
      <c r="R42" s="26">
        <v>1</v>
      </c>
      <c r="S42" s="26">
        <v>4</v>
      </c>
      <c r="T42" s="26">
        <v>3</v>
      </c>
      <c r="U42" s="26">
        <v>2</v>
      </c>
      <c r="V42" s="26">
        <v>1</v>
      </c>
      <c r="W42" s="26" t="s">
        <v>31</v>
      </c>
      <c r="X42" s="26">
        <v>3</v>
      </c>
      <c r="Y42" s="26">
        <v>1</v>
      </c>
      <c r="Z42" s="26">
        <v>2</v>
      </c>
      <c r="AA42" s="26" t="s">
        <v>31</v>
      </c>
      <c r="AB42" s="26" t="s">
        <v>31</v>
      </c>
      <c r="AC42" s="26" t="s">
        <v>31</v>
      </c>
      <c r="AD42" s="26" t="s">
        <v>31</v>
      </c>
      <c r="AE42" s="26" t="s">
        <v>31</v>
      </c>
      <c r="AF42" s="26" t="s">
        <v>31</v>
      </c>
      <c r="AG42" s="26">
        <v>1</v>
      </c>
      <c r="AH42" s="26" t="s">
        <v>31</v>
      </c>
      <c r="AI42" s="26">
        <v>5</v>
      </c>
    </row>
    <row r="43" spans="1:35" ht="18" customHeight="1">
      <c r="A43" s="25" t="s">
        <v>43</v>
      </c>
      <c r="B43" s="26" t="s">
        <v>31</v>
      </c>
      <c r="C43" s="26">
        <v>1</v>
      </c>
      <c r="D43" s="26" t="s">
        <v>31</v>
      </c>
      <c r="E43" s="26">
        <v>1</v>
      </c>
      <c r="F43" s="26" t="s">
        <v>31</v>
      </c>
      <c r="G43" s="26" t="s">
        <v>31</v>
      </c>
      <c r="H43" s="26" t="s">
        <v>31</v>
      </c>
      <c r="I43" s="26">
        <v>7</v>
      </c>
      <c r="J43" s="26" t="s">
        <v>31</v>
      </c>
      <c r="K43" s="26">
        <v>1</v>
      </c>
      <c r="L43" s="26">
        <v>2</v>
      </c>
      <c r="M43" s="26">
        <v>1</v>
      </c>
      <c r="N43" s="26" t="s">
        <v>31</v>
      </c>
      <c r="O43" s="26">
        <v>1</v>
      </c>
      <c r="P43" s="26" t="s">
        <v>31</v>
      </c>
      <c r="Q43" s="26">
        <v>1</v>
      </c>
      <c r="R43" s="26">
        <v>3</v>
      </c>
      <c r="S43" s="26">
        <v>1</v>
      </c>
      <c r="T43" s="26" t="s">
        <v>31</v>
      </c>
      <c r="U43" s="26">
        <v>1</v>
      </c>
      <c r="V43" s="26" t="s">
        <v>31</v>
      </c>
      <c r="W43" s="26" t="s">
        <v>31</v>
      </c>
      <c r="X43" s="26" t="s">
        <v>31</v>
      </c>
      <c r="Y43" s="26">
        <v>1</v>
      </c>
      <c r="Z43" s="26">
        <v>2</v>
      </c>
      <c r="AA43" s="26" t="s">
        <v>31</v>
      </c>
      <c r="AB43" s="26">
        <v>4</v>
      </c>
      <c r="AC43" s="26" t="s">
        <v>31</v>
      </c>
      <c r="AD43" s="26" t="s">
        <v>31</v>
      </c>
      <c r="AE43" s="26" t="s">
        <v>31</v>
      </c>
      <c r="AF43" s="26">
        <v>8</v>
      </c>
      <c r="AG43" s="26" t="s">
        <v>31</v>
      </c>
      <c r="AH43" s="26" t="s">
        <v>31</v>
      </c>
      <c r="AI43" s="26" t="s">
        <v>31</v>
      </c>
    </row>
    <row r="44" spans="1:35" ht="18" customHeight="1">
      <c r="A44" s="27" t="s">
        <v>44</v>
      </c>
      <c r="B44" s="26">
        <v>2</v>
      </c>
      <c r="C44" s="26">
        <v>2</v>
      </c>
      <c r="D44" s="26">
        <v>2</v>
      </c>
      <c r="E44" s="26">
        <v>2</v>
      </c>
      <c r="F44" s="26" t="s">
        <v>31</v>
      </c>
      <c r="G44" s="26">
        <v>1</v>
      </c>
      <c r="H44" s="26" t="s">
        <v>31</v>
      </c>
      <c r="I44" s="26" t="s">
        <v>31</v>
      </c>
      <c r="J44" s="26" t="s">
        <v>31</v>
      </c>
      <c r="K44" s="26" t="s">
        <v>31</v>
      </c>
      <c r="L44" s="26" t="s">
        <v>31</v>
      </c>
      <c r="M44" s="26" t="s">
        <v>31</v>
      </c>
      <c r="N44" s="26" t="s">
        <v>31</v>
      </c>
      <c r="O44" s="26">
        <v>1</v>
      </c>
      <c r="P44" s="26" t="s">
        <v>31</v>
      </c>
      <c r="Q44" s="26">
        <v>1</v>
      </c>
      <c r="R44" s="26">
        <v>1</v>
      </c>
      <c r="S44" s="26" t="s">
        <v>31</v>
      </c>
      <c r="T44" s="26">
        <v>1</v>
      </c>
      <c r="U44" s="26" t="s">
        <v>31</v>
      </c>
      <c r="V44" s="26" t="s">
        <v>31</v>
      </c>
      <c r="W44" s="26" t="s">
        <v>31</v>
      </c>
      <c r="X44" s="26" t="s">
        <v>31</v>
      </c>
      <c r="Y44" s="26">
        <v>1</v>
      </c>
      <c r="Z44" s="26" t="s">
        <v>31</v>
      </c>
      <c r="AA44" s="26" t="s">
        <v>31</v>
      </c>
      <c r="AB44" s="26" t="s">
        <v>31</v>
      </c>
      <c r="AC44" s="26" t="s">
        <v>31</v>
      </c>
      <c r="AD44" s="26" t="s">
        <v>31</v>
      </c>
      <c r="AE44" s="26" t="s">
        <v>31</v>
      </c>
      <c r="AF44" s="26" t="s">
        <v>31</v>
      </c>
      <c r="AG44" s="26" t="s">
        <v>31</v>
      </c>
      <c r="AH44" s="26" t="s">
        <v>31</v>
      </c>
      <c r="AI44" s="26" t="s">
        <v>31</v>
      </c>
    </row>
    <row r="45" spans="1:35" ht="18" customHeight="1">
      <c r="A45" s="27" t="s">
        <v>45</v>
      </c>
      <c r="B45" s="26">
        <v>15</v>
      </c>
      <c r="C45" s="26">
        <v>17</v>
      </c>
      <c r="D45" s="26">
        <v>2</v>
      </c>
      <c r="E45" s="26">
        <v>17</v>
      </c>
      <c r="F45" s="26">
        <v>11</v>
      </c>
      <c r="G45" s="26">
        <v>1</v>
      </c>
      <c r="H45" s="26">
        <v>124</v>
      </c>
      <c r="I45" s="26">
        <v>29</v>
      </c>
      <c r="J45" s="26">
        <v>12</v>
      </c>
      <c r="K45" s="26">
        <v>19</v>
      </c>
      <c r="L45" s="26">
        <v>6</v>
      </c>
      <c r="M45" s="26">
        <v>4</v>
      </c>
      <c r="N45" s="26">
        <v>5</v>
      </c>
      <c r="O45" s="26">
        <v>2</v>
      </c>
      <c r="P45" s="26">
        <v>2</v>
      </c>
      <c r="Q45" s="26">
        <v>22</v>
      </c>
      <c r="R45" s="26">
        <v>13</v>
      </c>
      <c r="S45" s="26">
        <v>20</v>
      </c>
      <c r="T45" s="26">
        <v>12</v>
      </c>
      <c r="U45" s="26">
        <v>13</v>
      </c>
      <c r="V45" s="26">
        <v>20</v>
      </c>
      <c r="W45" s="26">
        <v>1</v>
      </c>
      <c r="X45" s="26">
        <v>4</v>
      </c>
      <c r="Y45" s="26">
        <v>7</v>
      </c>
      <c r="Z45" s="26">
        <v>11</v>
      </c>
      <c r="AA45" s="26">
        <v>26</v>
      </c>
      <c r="AB45" s="26">
        <v>36</v>
      </c>
      <c r="AC45" s="26">
        <v>19</v>
      </c>
      <c r="AD45" s="26">
        <v>68</v>
      </c>
      <c r="AE45" s="26">
        <v>78</v>
      </c>
      <c r="AF45" s="26">
        <v>40</v>
      </c>
      <c r="AG45" s="26">
        <v>42</v>
      </c>
      <c r="AH45" s="26">
        <v>108</v>
      </c>
      <c r="AI45" s="26">
        <v>2</v>
      </c>
    </row>
    <row r="46" spans="1:35" ht="18" customHeight="1">
      <c r="A46" s="27" t="s">
        <v>87</v>
      </c>
      <c r="B46" s="26" t="s">
        <v>31</v>
      </c>
      <c r="C46" s="26" t="s">
        <v>31</v>
      </c>
      <c r="D46" s="26" t="s">
        <v>31</v>
      </c>
      <c r="E46" s="26" t="s">
        <v>31</v>
      </c>
      <c r="F46" s="26" t="s">
        <v>31</v>
      </c>
      <c r="G46" s="26" t="s">
        <v>31</v>
      </c>
      <c r="H46" s="26" t="s">
        <v>31</v>
      </c>
      <c r="I46" s="26" t="s">
        <v>31</v>
      </c>
      <c r="J46" s="26" t="s">
        <v>31</v>
      </c>
      <c r="K46" s="26">
        <v>1</v>
      </c>
      <c r="L46" s="26" t="s">
        <v>31</v>
      </c>
      <c r="M46" s="26" t="s">
        <v>31</v>
      </c>
      <c r="N46" s="26" t="s">
        <v>31</v>
      </c>
      <c r="O46" s="26" t="s">
        <v>31</v>
      </c>
      <c r="P46" s="26" t="s">
        <v>31</v>
      </c>
      <c r="Q46" s="26" t="s">
        <v>31</v>
      </c>
      <c r="R46" s="26" t="s">
        <v>31</v>
      </c>
      <c r="S46" s="26" t="s">
        <v>31</v>
      </c>
      <c r="T46" s="26" t="s">
        <v>31</v>
      </c>
      <c r="U46" s="26" t="s">
        <v>31</v>
      </c>
      <c r="V46" s="26">
        <v>1</v>
      </c>
      <c r="W46" s="26" t="s">
        <v>31</v>
      </c>
      <c r="X46" s="26" t="s">
        <v>31</v>
      </c>
      <c r="Y46" s="26">
        <v>1</v>
      </c>
      <c r="Z46" s="26" t="s">
        <v>31</v>
      </c>
      <c r="AA46" s="26" t="s">
        <v>31</v>
      </c>
      <c r="AB46" s="26">
        <v>4</v>
      </c>
      <c r="AC46" s="26">
        <v>2</v>
      </c>
      <c r="AD46" s="26" t="s">
        <v>31</v>
      </c>
      <c r="AE46" s="26" t="s">
        <v>31</v>
      </c>
      <c r="AF46" s="26" t="s">
        <v>31</v>
      </c>
      <c r="AG46" s="26" t="s">
        <v>31</v>
      </c>
      <c r="AH46" s="26">
        <v>12</v>
      </c>
      <c r="AI46" s="26" t="s">
        <v>31</v>
      </c>
    </row>
    <row r="47" spans="1:35" ht="18" customHeight="1">
      <c r="A47" s="27" t="s">
        <v>47</v>
      </c>
      <c r="B47" s="26">
        <v>4</v>
      </c>
      <c r="C47" s="26">
        <v>13</v>
      </c>
      <c r="D47" s="26" t="s">
        <v>31</v>
      </c>
      <c r="E47" s="26">
        <v>13</v>
      </c>
      <c r="F47" s="26">
        <v>3</v>
      </c>
      <c r="G47" s="26">
        <v>1</v>
      </c>
      <c r="H47" s="26">
        <v>4</v>
      </c>
      <c r="I47" s="26">
        <v>22</v>
      </c>
      <c r="J47" s="26">
        <v>25</v>
      </c>
      <c r="K47" s="26">
        <v>3</v>
      </c>
      <c r="L47" s="26">
        <v>7</v>
      </c>
      <c r="M47" s="26" t="s">
        <v>31</v>
      </c>
      <c r="N47" s="26">
        <v>3</v>
      </c>
      <c r="O47" s="26">
        <v>1</v>
      </c>
      <c r="P47" s="26" t="s">
        <v>31</v>
      </c>
      <c r="Q47" s="26">
        <v>12</v>
      </c>
      <c r="R47" s="26">
        <v>4</v>
      </c>
      <c r="S47" s="26" t="s">
        <v>31</v>
      </c>
      <c r="T47" s="26">
        <v>4</v>
      </c>
      <c r="U47" s="26">
        <v>3</v>
      </c>
      <c r="V47" s="26">
        <v>1</v>
      </c>
      <c r="W47" s="26">
        <v>2</v>
      </c>
      <c r="X47" s="26">
        <v>8</v>
      </c>
      <c r="Y47" s="26">
        <v>5</v>
      </c>
      <c r="Z47" s="26">
        <v>20</v>
      </c>
      <c r="AA47" s="26">
        <v>5</v>
      </c>
      <c r="AB47" s="26">
        <v>44</v>
      </c>
      <c r="AC47" s="26">
        <v>7</v>
      </c>
      <c r="AD47" s="26">
        <v>4</v>
      </c>
      <c r="AE47" s="26" t="s">
        <v>31</v>
      </c>
      <c r="AF47" s="26">
        <v>12</v>
      </c>
      <c r="AG47" s="26">
        <v>3</v>
      </c>
      <c r="AH47" s="26">
        <v>6</v>
      </c>
      <c r="AI47" s="26" t="s">
        <v>31</v>
      </c>
    </row>
    <row r="48" spans="1:35" ht="18" customHeight="1">
      <c r="A48" s="25" t="s">
        <v>42</v>
      </c>
      <c r="B48" s="26">
        <v>3</v>
      </c>
      <c r="C48" s="26" t="s">
        <v>31</v>
      </c>
      <c r="D48" s="26" t="s">
        <v>31</v>
      </c>
      <c r="E48" s="26">
        <v>2</v>
      </c>
      <c r="F48" s="26">
        <v>1</v>
      </c>
      <c r="G48" s="26" t="s">
        <v>31</v>
      </c>
      <c r="H48" s="26" t="s">
        <v>31</v>
      </c>
      <c r="I48" s="26" t="s">
        <v>31</v>
      </c>
      <c r="J48" s="26" t="s">
        <v>31</v>
      </c>
      <c r="K48" s="26" t="s">
        <v>31</v>
      </c>
      <c r="L48" s="26">
        <v>2</v>
      </c>
      <c r="M48" s="26" t="s">
        <v>31</v>
      </c>
      <c r="N48" s="26" t="s">
        <v>31</v>
      </c>
      <c r="O48" s="26" t="s">
        <v>31</v>
      </c>
      <c r="P48" s="26" t="s">
        <v>31</v>
      </c>
      <c r="Q48" s="26">
        <v>1</v>
      </c>
      <c r="R48" s="26" t="s">
        <v>31</v>
      </c>
      <c r="S48" s="26" t="s">
        <v>31</v>
      </c>
      <c r="T48" s="26" t="s">
        <v>31</v>
      </c>
      <c r="U48" s="26" t="s">
        <v>31</v>
      </c>
      <c r="V48" s="26" t="s">
        <v>31</v>
      </c>
      <c r="W48" s="26" t="s">
        <v>31</v>
      </c>
      <c r="X48" s="26" t="s">
        <v>31</v>
      </c>
      <c r="Y48" s="26" t="s">
        <v>31</v>
      </c>
      <c r="Z48" s="26" t="s">
        <v>31</v>
      </c>
      <c r="AA48" s="26" t="s">
        <v>31</v>
      </c>
      <c r="AB48" s="26">
        <v>8</v>
      </c>
      <c r="AC48" s="26">
        <v>1</v>
      </c>
      <c r="AD48" s="26" t="s">
        <v>31</v>
      </c>
      <c r="AE48" s="26" t="s">
        <v>31</v>
      </c>
      <c r="AF48" s="26" t="s">
        <v>31</v>
      </c>
      <c r="AG48" s="26" t="s">
        <v>31</v>
      </c>
      <c r="AH48" s="26" t="s">
        <v>31</v>
      </c>
      <c r="AI48" s="26" t="s">
        <v>31</v>
      </c>
    </row>
    <row r="49" spans="1:35" ht="18" customHeight="1">
      <c r="A49" s="25" t="s">
        <v>88</v>
      </c>
      <c r="B49" s="26" t="s">
        <v>31</v>
      </c>
      <c r="C49" s="26" t="s">
        <v>31</v>
      </c>
      <c r="D49" s="26" t="s">
        <v>31</v>
      </c>
      <c r="E49" s="26" t="s">
        <v>31</v>
      </c>
      <c r="F49" s="26" t="s">
        <v>31</v>
      </c>
      <c r="G49" s="26" t="s">
        <v>31</v>
      </c>
      <c r="H49" s="26" t="s">
        <v>31</v>
      </c>
      <c r="I49" s="26" t="s">
        <v>31</v>
      </c>
      <c r="J49" s="26" t="s">
        <v>31</v>
      </c>
      <c r="K49" s="26" t="s">
        <v>31</v>
      </c>
      <c r="L49" s="26" t="s">
        <v>31</v>
      </c>
      <c r="M49" s="26" t="s">
        <v>31</v>
      </c>
      <c r="N49" s="26" t="s">
        <v>31</v>
      </c>
      <c r="O49" s="26" t="s">
        <v>31</v>
      </c>
      <c r="P49" s="26" t="s">
        <v>31</v>
      </c>
      <c r="Q49" s="26" t="s">
        <v>31</v>
      </c>
      <c r="R49" s="26" t="s">
        <v>31</v>
      </c>
      <c r="S49" s="26" t="s">
        <v>31</v>
      </c>
      <c r="T49" s="26" t="s">
        <v>31</v>
      </c>
      <c r="U49" s="26">
        <v>1</v>
      </c>
      <c r="V49" s="26" t="s">
        <v>31</v>
      </c>
      <c r="W49" s="26" t="s">
        <v>31</v>
      </c>
      <c r="X49" s="26" t="s">
        <v>31</v>
      </c>
      <c r="Y49" s="26" t="s">
        <v>31</v>
      </c>
      <c r="Z49" s="26" t="s">
        <v>31</v>
      </c>
      <c r="AA49" s="26">
        <v>1</v>
      </c>
      <c r="AB49" s="26">
        <v>4</v>
      </c>
      <c r="AC49" s="26">
        <v>1</v>
      </c>
      <c r="AD49" s="26" t="s">
        <v>31</v>
      </c>
      <c r="AE49" s="26" t="s">
        <v>31</v>
      </c>
      <c r="AF49" s="26">
        <v>8</v>
      </c>
      <c r="AG49" s="26">
        <v>12</v>
      </c>
      <c r="AH49" s="26" t="s">
        <v>31</v>
      </c>
      <c r="AI49" s="26" t="s">
        <v>31</v>
      </c>
    </row>
    <row r="50" spans="1:35" ht="18" customHeight="1">
      <c r="A50" s="27" t="s">
        <v>89</v>
      </c>
      <c r="B50" s="26" t="s">
        <v>31</v>
      </c>
      <c r="C50" s="26" t="s">
        <v>31</v>
      </c>
      <c r="D50" s="26" t="s">
        <v>31</v>
      </c>
      <c r="E50" s="26" t="s">
        <v>31</v>
      </c>
      <c r="F50" s="26" t="s">
        <v>31</v>
      </c>
      <c r="G50" s="26" t="s">
        <v>31</v>
      </c>
      <c r="H50" s="26">
        <v>16</v>
      </c>
      <c r="I50" s="26">
        <v>6</v>
      </c>
      <c r="J50" s="26" t="s">
        <v>31</v>
      </c>
      <c r="K50" s="26" t="s">
        <v>31</v>
      </c>
      <c r="L50" s="26" t="s">
        <v>31</v>
      </c>
      <c r="M50" s="26" t="s">
        <v>31</v>
      </c>
      <c r="N50" s="26" t="s">
        <v>31</v>
      </c>
      <c r="O50" s="26" t="s">
        <v>31</v>
      </c>
      <c r="P50" s="26" t="s">
        <v>31</v>
      </c>
      <c r="Q50" s="26" t="s">
        <v>31</v>
      </c>
      <c r="R50" s="26" t="s">
        <v>31</v>
      </c>
      <c r="S50" s="26" t="s">
        <v>31</v>
      </c>
      <c r="T50" s="26" t="s">
        <v>31</v>
      </c>
      <c r="U50" s="26" t="s">
        <v>31</v>
      </c>
      <c r="V50" s="26" t="s">
        <v>31</v>
      </c>
      <c r="W50" s="26" t="s">
        <v>31</v>
      </c>
      <c r="X50" s="26" t="s">
        <v>31</v>
      </c>
      <c r="Y50" s="26" t="s">
        <v>31</v>
      </c>
      <c r="Z50" s="26" t="s">
        <v>31</v>
      </c>
      <c r="AA50" s="26" t="s">
        <v>31</v>
      </c>
      <c r="AB50" s="26" t="s">
        <v>31</v>
      </c>
      <c r="AC50" s="26" t="s">
        <v>31</v>
      </c>
      <c r="AD50" s="26">
        <v>28</v>
      </c>
      <c r="AE50" s="26">
        <v>6</v>
      </c>
      <c r="AF50" s="26">
        <v>12</v>
      </c>
      <c r="AG50" s="26">
        <v>3</v>
      </c>
      <c r="AH50" s="26">
        <v>12</v>
      </c>
      <c r="AI50" s="26" t="s">
        <v>31</v>
      </c>
    </row>
    <row r="51" spans="1:35" ht="18" customHeight="1">
      <c r="A51" s="27" t="s">
        <v>48</v>
      </c>
      <c r="B51" s="26">
        <v>4</v>
      </c>
      <c r="C51" s="26">
        <v>4</v>
      </c>
      <c r="D51" s="26">
        <v>6</v>
      </c>
      <c r="E51" s="26">
        <v>15</v>
      </c>
      <c r="F51" s="26">
        <v>33</v>
      </c>
      <c r="G51" s="26">
        <v>2</v>
      </c>
      <c r="H51" s="26">
        <v>524</v>
      </c>
      <c r="I51" s="26">
        <v>37</v>
      </c>
      <c r="J51" s="26" t="s">
        <v>31</v>
      </c>
      <c r="K51" s="26">
        <v>12</v>
      </c>
      <c r="L51" s="26" t="s">
        <v>31</v>
      </c>
      <c r="M51" s="26" t="s">
        <v>31</v>
      </c>
      <c r="N51" s="26">
        <v>1</v>
      </c>
      <c r="O51" s="26">
        <v>1</v>
      </c>
      <c r="P51" s="26" t="s">
        <v>31</v>
      </c>
      <c r="Q51" s="26" t="s">
        <v>31</v>
      </c>
      <c r="R51" s="26">
        <v>11</v>
      </c>
      <c r="S51" s="26">
        <v>2</v>
      </c>
      <c r="T51" s="26" t="s">
        <v>31</v>
      </c>
      <c r="U51" s="26" t="s">
        <v>31</v>
      </c>
      <c r="V51" s="26" t="s">
        <v>31</v>
      </c>
      <c r="W51" s="26" t="s">
        <v>31</v>
      </c>
      <c r="X51" s="26" t="s">
        <v>31</v>
      </c>
      <c r="Y51" s="26" t="s">
        <v>31</v>
      </c>
      <c r="Z51" s="26" t="s">
        <v>31</v>
      </c>
      <c r="AA51" s="26">
        <v>9</v>
      </c>
      <c r="AB51" s="26">
        <v>68</v>
      </c>
      <c r="AC51" s="26">
        <v>9</v>
      </c>
      <c r="AD51" s="26">
        <v>596</v>
      </c>
      <c r="AE51" s="26">
        <v>252</v>
      </c>
      <c r="AF51" s="26">
        <v>716</v>
      </c>
      <c r="AG51" s="26">
        <v>63</v>
      </c>
      <c r="AH51" s="26">
        <v>816</v>
      </c>
      <c r="AI51" s="26">
        <v>3</v>
      </c>
    </row>
  </sheetData>
  <sheetProtection selectLockedCells="1" selectUnlockedCells="1"/>
  <mergeCells count="2">
    <mergeCell ref="A1:AB1"/>
    <mergeCell ref="A36:AI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Rita Serenella Lombardo</dc:creator>
  <cp:keywords/>
  <dc:description/>
  <cp:lastModifiedBy>Administrator</cp:lastModifiedBy>
  <dcterms:created xsi:type="dcterms:W3CDTF">2021-02-23T10:51:28Z</dcterms:created>
  <dcterms:modified xsi:type="dcterms:W3CDTF">2021-02-23T10:51:28Z</dcterms:modified>
  <cp:category/>
  <cp:version/>
  <cp:contentType/>
  <cp:contentStatus/>
</cp:coreProperties>
</file>